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workbookProtection workbookAlgorithmName="SHA-512" workbookHashValue="tJMU8R9c0VKfb39+SPkKNlIuE1NSdkH4aIQIFDLp6r4LoBn3G/n1Yo3CPawD1hQFg/hK8GKi2GRiQ0bCWoyAQw==" workbookSaltValue="6RbOUe9274EjTZSL04n8Rg==" workbookSpinCount="100000" lockStructure="1"/>
  <bookViews>
    <workbookView windowWidth="27945" windowHeight="12300"/>
  </bookViews>
  <sheets>
    <sheet name="Design Converter" sheetId="1" r:id="rId1"/>
    <sheet name="Licenses" sheetId="10" r:id="rId2"/>
    <sheet name="Variable_Management" sheetId="2" state="hidden" r:id="rId3"/>
    <sheet name="Eff_vs_IOUT" sheetId="4" state="hidden" r:id="rId4"/>
    <sheet name="Loop_Modeling" sheetId="5" state="hidden" r:id="rId5"/>
    <sheet name="Constants" sheetId="3" state="hidden" r:id="rId6"/>
    <sheet name="Plot_Management_Eff" sheetId="6" state="hidden" r:id="rId7"/>
    <sheet name="Plot_Management_Sch" sheetId="7" state="hidden" r:id="rId8"/>
    <sheet name="Lists" sheetId="8" state="hidden" r:id="rId9"/>
  </sheets>
  <definedNames>
    <definedName name="Acs">Constants!$B$30</definedName>
    <definedName name="Adc">Loop_Modeling!$B$34</definedName>
    <definedName name="Adc_ea">Loop_Modeling!$B$58</definedName>
    <definedName name="ADC_VINmin">Variable_Management!$B$178</definedName>
    <definedName name="Cac">Variable_Management!$B$132</definedName>
    <definedName name="Cac_min">Variable_Management!$B$131</definedName>
    <definedName name="CCOMP">Variable_Management!$B$238</definedName>
    <definedName name="CCOMP_Calc">Variable_Management!$B$237</definedName>
    <definedName name="CCOMP_calc_CCM">Variable_Management!$B$207</definedName>
    <definedName name="CCOMP_CALC_DCM">Variable_Management!$B$228</definedName>
    <definedName name="CHF">Variable_Management!$B$240</definedName>
    <definedName name="CHF_calc">Variable_Management!$B$239</definedName>
    <definedName name="CHF_CALC_CCM">Variable_Management!$B$208</definedName>
    <definedName name="CHF_CALC_DCM">Variable_Management!$B$229</definedName>
    <definedName name="Comp_calc_CCM">Variable_Management!$B$207</definedName>
    <definedName name="Cout">Variable_Management!$B$144</definedName>
    <definedName name="Cout_min">Variable_Management!$B$142</definedName>
    <definedName name="D_limit_max">Constants!$B$18</definedName>
    <definedName name="D_limit_min">Constants!$B$16</definedName>
    <definedName name="D_limit_nom">Constants!$B$17</definedName>
    <definedName name="DC_DCM_max">Variable_Management!$B$32</definedName>
    <definedName name="Dc_max_IC">Variable_Management!$B$20</definedName>
    <definedName name="Dc_max_ideal">Variable_Management!$A$19</definedName>
    <definedName name="DC_rip">Variable_Management!#REF!</definedName>
    <definedName name="Dc_rip_max">Variable_Management!#REF!</definedName>
    <definedName name="Dc_VIN_max">Variable_Management!$B$87</definedName>
    <definedName name="Dc_VIN_min">Variable_Management!$B$53</definedName>
    <definedName name="Dc_VIN_nom">Variable_Management!$B$70</definedName>
    <definedName name="DC_VIN_Var">Loop_Modeling!$B$18</definedName>
    <definedName name="DC_VIN_var_DCM">Loop_Modeling!$B$66</definedName>
    <definedName name="EFF_est">Variable_Management!$B$17</definedName>
    <definedName name="Eff_vs_IOUT">Plot_Management_Eff!$C$3</definedName>
    <definedName name="fcross">Variable_Management!$B$233</definedName>
    <definedName name="fcross_est">Variable_Management!$B$232</definedName>
    <definedName name="fp_ea_est">Variable_Management!$B$202</definedName>
    <definedName name="Fsw">Variable_Management!$B$10</definedName>
    <definedName name="fz_ea_est">Variable_Management!$B$201</definedName>
    <definedName name="fz_rhp">Variable_Management!$B$187</definedName>
    <definedName name="Gcomp">Constants!$B$29</definedName>
    <definedName name="Gea_mid_calc">Variable_Management!#REF!</definedName>
    <definedName name="gfs">Variable_Management!$B$256</definedName>
    <definedName name="gm_ea">Constants!$B$34</definedName>
    <definedName name="Gplant_fc_dB">Loop_Modeling!$AD$7</definedName>
    <definedName name="IIN_33">Variable_Management!#REF!</definedName>
    <definedName name="IL_coupled">Variable_Management!$B$24</definedName>
    <definedName name="IL_pk">Variable_Management!$B$122</definedName>
    <definedName name="IL_pk_max">Variable_Management!$B$123</definedName>
    <definedName name="ILA_avg_VIN_max">Variable_Management!$B$90</definedName>
    <definedName name="ILA_avg_VIN_min">Variable_Management!$B$56</definedName>
    <definedName name="ILA_avg_VIN_nom">Variable_Management!$B$73</definedName>
    <definedName name="ILAp_VINmax">Variable_Management!$B$92</definedName>
    <definedName name="ILAp_VINmin">Variable_Management!$B$58</definedName>
    <definedName name="ILAp_VINnom">Variable_Management!$B$75</definedName>
    <definedName name="ILArip_VINmax">Variable_Management!$B$91</definedName>
    <definedName name="ILArip_VINmin">Variable_Management!$B$57</definedName>
    <definedName name="ILArip_VINnom">Variable_Management!$B$74</definedName>
    <definedName name="ILB_avg_VIN_max">Variable_Management!$B$95</definedName>
    <definedName name="ILB_avg_VIN_min">Variable_Management!$B$61</definedName>
    <definedName name="ILB_avg_VIN_nom">Variable_Management!$B$78</definedName>
    <definedName name="ILBp_VIN_max">Variable_Management!$B$97</definedName>
    <definedName name="ILBp_VIN_min">Variable_Management!$B$63</definedName>
    <definedName name="ILBp_VIN_nom">Variable_Management!$B$80</definedName>
    <definedName name="ILBrip_VIN_max">Variable_Management!$B$96</definedName>
    <definedName name="ILBrip_VIN_nom">Variable_Management!$B$79</definedName>
    <definedName name="ILBrip_VINmin">Variable_Management!$B$62</definedName>
    <definedName name="ILrip">Variable_Management!$B$28</definedName>
    <definedName name="IOUT">Variable_Management!$B$14</definedName>
    <definedName name="IOUT_VAR">Loop_Modeling!$B$17</definedName>
    <definedName name="Ipk_margin">Variable_Management!$B$103</definedName>
    <definedName name="Ipk_selected">Variable_Management!$B$104</definedName>
    <definedName name="IQ">Constants!$B$48</definedName>
    <definedName name="IRMS_COUT">Variable_Management!$B$143</definedName>
    <definedName name="Isl">Constants!$B$25</definedName>
    <definedName name="Iss">Constants!$B$37</definedName>
    <definedName name="ISW_peak_VIN_min">Variable_Management!$B$66</definedName>
    <definedName name="ISW_peak_VIN_nom">Variable_Management!$B$83</definedName>
    <definedName name="Kslope">Variable_Management!$B$110</definedName>
    <definedName name="Lm">Variable_Management!$B$40</definedName>
    <definedName name="Lm_A">Variable_Management!$B$42</definedName>
    <definedName name="Lm_B">Variable_Management!$B$44</definedName>
    <definedName name="Lopt">Variable_Management!#REF!</definedName>
    <definedName name="Lopt_2">Variable_Management!$B$29</definedName>
    <definedName name="M_L_DCM">Variable_Management!$B$34</definedName>
    <definedName name="POUT">Variable_Management!$B$16</definedName>
    <definedName name="_xlnm.Print_Area" localSheetId="0">'Design Converter'!$A$1:$Z$102</definedName>
    <definedName name="Q">Loop_Modeling!$B$48</definedName>
    <definedName name="Q_VINmin">Variable_Management!$B$195</definedName>
    <definedName name="Qg_tot">Variable_Management!$B$251</definedName>
    <definedName name="Qgd">Variable_Management!$B$252</definedName>
    <definedName name="Qgs">Variable_Management!$B$253</definedName>
    <definedName name="Qrr">Variable_Management!$B$246</definedName>
    <definedName name="R_cs">Variable_Management!$B$118</definedName>
    <definedName name="R_sl">Variable_Management!$B$119</definedName>
    <definedName name="RCOMP">Variable_Management!$B$236</definedName>
    <definedName name="RCOMP_Calc">Variable_Management!$B$235</definedName>
    <definedName name="Rcomp_calc_CCM">Variable_Management!$B$206</definedName>
    <definedName name="RCOMP_CALC_DCM">Variable_Management!$B$227</definedName>
    <definedName name="Rcs_max">Variable_Management!$B$107</definedName>
    <definedName name="Rcs_w_sl">Variable_Management!$B$111</definedName>
    <definedName name="Rcs_wo_sl">Variable_Management!$B$108</definedName>
    <definedName name="Rdcr">Variable_Management!$B$46</definedName>
    <definedName name="RDS_on">Variable_Management!$B$250</definedName>
    <definedName name="Resr">Variable_Management!$B$145</definedName>
    <definedName name="RFBB">Variable_Management!$B$172</definedName>
    <definedName name="RFBB_calc">Variable_Management!$B$171</definedName>
    <definedName name="RFBT">Variable_Management!$B$170</definedName>
    <definedName name="Rgate">Variable_Management!$B$254</definedName>
    <definedName name="ROUT">Variable_Management!$B$15</definedName>
    <definedName name="Rsl_int">Constants!$B$26</definedName>
    <definedName name="RT">Variable_Management!$B$11</definedName>
    <definedName name="Ruvlo_bottom_calc">Variable_Management!$B$161</definedName>
    <definedName name="Ruvlo_top">Variable_Management!$B$160</definedName>
    <definedName name="Ruvlo_top_calc">Variable_Management!$B$159</definedName>
    <definedName name="SCH_1">Plot_Management_Sch!$B$2</definedName>
    <definedName name="Se_VINmin">Variable_Management!$B$191</definedName>
    <definedName name="Sn_VINmin">Variable_Management!$B$192</definedName>
    <definedName name="tf_sw">Variable_Management!$B$263</definedName>
    <definedName name="tr_sw">Variable_Management!$B$262</definedName>
    <definedName name="tss">Variable_Management!$B$150</definedName>
    <definedName name="UV_fall">Constants!$B$41</definedName>
    <definedName name="UV_I_hyst">Constants!$B$42</definedName>
    <definedName name="UV_rise">Constants!$B$40</definedName>
    <definedName name="Vcc">Constants!$B$45</definedName>
    <definedName name="Vcl">Constants!$B$27</definedName>
    <definedName name="VCrr">Variable_Management!$B$130</definedName>
    <definedName name="Vd_rect">Variable_Management!$B$245</definedName>
    <definedName name="VIN_33">Variable_Management!#REF!</definedName>
    <definedName name="VIN_max">Variable_Management!$B$9</definedName>
    <definedName name="VIN_min">Variable_Management!$B$7</definedName>
    <definedName name="VIN_nom">Variable_Management!$B$8</definedName>
    <definedName name="VIN_op_max">Constants!$B$52</definedName>
    <definedName name="VIN_op_min">Constants!$B$51</definedName>
    <definedName name="VIN_var">Loop_Modeling!$B$16</definedName>
    <definedName name="VOUT">Variable_Management!$B$13</definedName>
    <definedName name="Vout_rip_sel">Variable_Management!$B$140</definedName>
    <definedName name="Vref">Constants!$B$33</definedName>
    <definedName name="Vth">Variable_Management!$B$257</definedName>
    <definedName name="Vuvlo_off">Variable_Management!$B$155</definedName>
    <definedName name="Vuvlo_on">Variable_Management!$B$154</definedName>
    <definedName name="wp_lf">Loop_Modeling!$B$35</definedName>
    <definedName name="wp_lf_DCM">Loop_Modeling!$B$69</definedName>
    <definedName name="wp_lf_VINmin">Variable_Management!$B$180</definedName>
    <definedName name="wp0_ea">Loop_Modeling!$B$60</definedName>
    <definedName name="wp1_ea">Loop_Modeling!$B$61</definedName>
    <definedName name="wsl">Loop_Modeling!$B$47</definedName>
    <definedName name="wsl_VINmin">Variable_Management!$B$194</definedName>
    <definedName name="wz_ea">Loop_Modeling!$B$59</definedName>
    <definedName name="wz_esr">Loop_Modeling!$B$41</definedName>
    <definedName name="wz_esr_VINmin">Variable_Management!$B$183</definedName>
    <definedName name="wz_rhp">Loop_Modeling!$B$38</definedName>
    <definedName name="wz_RHP_VINmin">Variable_Management!$B$186</definedName>
    <definedName name="wz1_dcm">Loop_Modeling!$B$71</definedName>
    <definedName name="wz2_dcm">Loop_Modeling!$B$73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BMC-BCS</author>
  </authors>
  <commentList>
    <comment ref="A3" authorId="0">
      <text>
        <r>
          <rPr>
            <b/>
            <sz val="11"/>
            <color indexed="10"/>
            <rFont val="Tahoma"/>
            <charset val="134"/>
          </rPr>
          <t>Welcome to the LM34x8 Design Tool</t>
        </r>
        <r>
          <rPr>
            <sz val="9"/>
            <rFont val="Tahoma"/>
            <charset val="134"/>
          </rPr>
          <t xml:space="preserve">
This stand-alone tool facilitates and assists the power supply engineer with design of a DC-DC boost converter based on the LM34x8 SEPIC controller. As such, the user can expeditiously arrive at an optimized design by virtue of the following:
- Select components
- Optimize compensation values and pole/zero placement in terms of control loop stability using crossover frquency as a performance metric
- Inspect regulator efficiency and component power dissipation
- Analyze efficiency based on selected MOSFET, inductor and diode parameters
IMPORTANT: You must enable macros if Microsoft Excel asks as the file is being opened. U.S. English notation is used throughout. Make sure to input or select values in all of the yellow shaded cells even if a value already exists in that cell. Do not over write equations in cells, as this may result in calculation errors.
</t>
        </r>
      </text>
    </comment>
    <comment ref="G7" authorId="0">
      <text>
        <r>
          <rPr>
            <b/>
            <sz val="9"/>
            <rFont val="Tahoma"/>
            <charset val="134"/>
          </rPr>
          <t xml:space="preserve">Minimum Input Voltage:
</t>
        </r>
        <r>
          <rPr>
            <sz val="9"/>
            <rFont val="Tahoma"/>
            <charset val="134"/>
          </rPr>
          <t xml:space="preserve">Enter the minimum operating input voltage.
The LM34x8 VIN pin voltage operating range is 2.97V to 40V.
</t>
        </r>
        <r>
          <rPr>
            <b/>
            <sz val="9"/>
            <rFont val="Tahoma"/>
            <charset val="134"/>
          </rPr>
          <t xml:space="preserve">
</t>
        </r>
        <r>
          <rPr>
            <b/>
            <sz val="9"/>
            <color indexed="10"/>
            <rFont val="Tahoma"/>
            <charset val="134"/>
          </rPr>
          <t>The text in the cell is flagged red if:</t>
        </r>
        <r>
          <rPr>
            <b/>
            <sz val="9"/>
            <rFont val="Tahoma"/>
            <charset val="134"/>
          </rPr>
          <t xml:space="preserve">
</t>
        </r>
        <r>
          <rPr>
            <sz val="9"/>
            <rFont val="Tahoma"/>
            <charset val="134"/>
          </rPr>
          <t>-The input voltage is above 40V
-The input voltage is below 2.97V</t>
        </r>
      </text>
    </comment>
    <comment ref="G8" authorId="0">
      <text>
        <r>
          <rPr>
            <b/>
            <sz val="9"/>
            <rFont val="Tahoma"/>
            <charset val="134"/>
          </rPr>
          <t xml:space="preserve">Nominal Input Voltage:
</t>
        </r>
        <r>
          <rPr>
            <sz val="9"/>
            <rFont val="Tahoma"/>
            <charset val="134"/>
          </rPr>
          <t>Enter the nominal operating input voltage.
The LM34x8 input voltage operating range is 2.97V to 40V.</t>
        </r>
        <r>
          <rPr>
            <b/>
            <sz val="9"/>
            <rFont val="Tahoma"/>
            <charset val="134"/>
          </rPr>
          <t xml:space="preserve">
</t>
        </r>
        <r>
          <rPr>
            <b/>
            <sz val="9"/>
            <color indexed="10"/>
            <rFont val="Tahoma"/>
            <charset val="134"/>
          </rPr>
          <t>The text in the cell is flagged red if:</t>
        </r>
        <r>
          <rPr>
            <b/>
            <sz val="9"/>
            <rFont val="Tahoma"/>
            <charset val="134"/>
          </rPr>
          <t xml:space="preserve">
</t>
        </r>
        <r>
          <rPr>
            <sz val="9"/>
            <rFont val="Tahoma"/>
            <charset val="134"/>
          </rPr>
          <t>-The input voltage is above V</t>
        </r>
        <r>
          <rPr>
            <vertAlign val="subscript"/>
            <sz val="9"/>
            <rFont val="Tahoma"/>
            <charset val="134"/>
          </rPr>
          <t>SUPPLY</t>
        </r>
        <r>
          <rPr>
            <sz val="9"/>
            <rFont val="Tahoma"/>
            <charset val="134"/>
          </rPr>
          <t>(max)
-The input voltage is below V</t>
        </r>
        <r>
          <rPr>
            <vertAlign val="subscript"/>
            <sz val="9"/>
            <rFont val="Tahoma"/>
            <charset val="134"/>
          </rPr>
          <t>SUPPLY</t>
        </r>
        <r>
          <rPr>
            <sz val="9"/>
            <rFont val="Tahoma"/>
            <charset val="134"/>
          </rPr>
          <t>(min)</t>
        </r>
      </text>
    </comment>
    <comment ref="G9" authorId="0">
      <text>
        <r>
          <rPr>
            <b/>
            <sz val="9"/>
            <rFont val="Tahoma"/>
            <charset val="134"/>
          </rPr>
          <t>Maximum Input Voltage:</t>
        </r>
        <r>
          <rPr>
            <sz val="9"/>
            <rFont val="Tahoma"/>
            <charset val="134"/>
          </rPr>
          <t xml:space="preserve">
Enter the maximum operating input voltage.
The LM34x8 input voltage operating range is 2.97V to 40V.
</t>
        </r>
        <r>
          <rPr>
            <b/>
            <sz val="9"/>
            <color indexed="10"/>
            <rFont val="Tahoma"/>
            <charset val="134"/>
          </rPr>
          <t xml:space="preserve">
The text in the cell is flagged red if:</t>
        </r>
        <r>
          <rPr>
            <sz val="9"/>
            <rFont val="Tahoma"/>
            <charset val="134"/>
          </rPr>
          <t xml:space="preserve">
-The input voltage is above 40V
-The input voltage is below 2.97V</t>
        </r>
      </text>
    </comment>
    <comment ref="G10" authorId="0">
      <text>
        <r>
          <rPr>
            <b/>
            <sz val="9"/>
            <rFont val="Tahoma"/>
            <charset val="134"/>
          </rPr>
          <t>Output Voltage:</t>
        </r>
        <r>
          <rPr>
            <sz val="9"/>
            <rFont val="Tahoma"/>
            <charset val="134"/>
          </rPr>
          <t xml:space="preserve">
Enter the desired output voltage.
</t>
        </r>
      </text>
    </comment>
    <comment ref="G12" authorId="0">
      <text>
        <r>
          <rPr>
            <b/>
            <sz val="9"/>
            <rFont val="Tahoma"/>
            <charset val="134"/>
          </rPr>
          <t>Operating Frequency (set by FA/SD):</t>
        </r>
        <r>
          <rPr>
            <sz val="9"/>
            <rFont val="Tahoma"/>
            <charset val="134"/>
          </rPr>
          <t xml:space="preserve">
This cell defines the free-running switching frequency set by the RT resistor. 
</t>
        </r>
        <r>
          <rPr>
            <sz val="11"/>
            <color indexed="10"/>
            <rFont val="Calibri"/>
            <scheme val="minor"/>
            <charset val="0"/>
          </rPr>
          <t>The text in the cell is flagged red if:</t>
        </r>
        <r>
          <rPr>
            <sz val="9"/>
            <rFont val="Tahoma"/>
            <charset val="134"/>
          </rPr>
          <t xml:space="preserve">
-The frequency is below 100 kHz
-The frequency is above 1 MHz</t>
        </r>
      </text>
    </comment>
    <comment ref="G15" authorId="0">
      <text>
        <r>
          <rPr>
            <b/>
            <sz val="9"/>
            <rFont val="Tahoma"/>
            <charset val="134"/>
          </rPr>
          <t xml:space="preserve">Maximum duty cycle
</t>
        </r>
        <r>
          <rPr>
            <sz val="9"/>
            <rFont val="Tahoma"/>
            <charset val="134"/>
          </rPr>
          <t xml:space="preserve">The LM3478-88 has a maximum duty cycle of 100%.
The limits for the maximum duty cycle can not be specified since the part does not permit less than 100% maximum duty cycle operation
</t>
        </r>
      </text>
    </comment>
    <comment ref="G16" authorId="0">
      <text>
        <r>
          <rPr>
            <sz val="9"/>
            <color indexed="10"/>
            <rFont val="Tahoma"/>
            <charset val="134"/>
          </rPr>
          <t xml:space="preserve">
</t>
        </r>
        <r>
          <rPr>
            <b/>
            <sz val="9"/>
            <color indexed="10"/>
            <rFont val="Tahoma"/>
            <charset val="134"/>
          </rPr>
          <t>The text in the cell is flagged red if:</t>
        </r>
        <r>
          <rPr>
            <sz val="9"/>
            <rFont val="Tahoma"/>
            <charset val="134"/>
          </rPr>
          <t xml:space="preserve">
</t>
        </r>
        <r>
          <rPr>
            <b/>
            <sz val="9"/>
            <rFont val="Tahoma"/>
            <charset val="134"/>
          </rPr>
          <t>- Duty CCM duty cycle for the step up ratio is greater then the duty cycle limit of the LM34x8. For high step-up ratio designs the regulator can be configured to operate in discontinous conduction mode (DCM) to achieve the step up ratio.</t>
        </r>
      </text>
    </comment>
    <comment ref="G19" authorId="0">
      <text>
        <r>
          <rPr>
            <b/>
            <sz val="9"/>
            <rFont val="Tahoma"/>
            <charset val="134"/>
          </rPr>
          <t>CCM-DCM:</t>
        </r>
        <r>
          <rPr>
            <sz val="9"/>
            <rFont val="Tahoma"/>
            <charset val="134"/>
          </rPr>
          <t xml:space="preserve">
CCM = Continous Conduction Mode
DCM  = Discontinous Conduction Mode</t>
        </r>
      </text>
    </comment>
    <comment ref="G20" authorId="0">
      <text>
        <r>
          <rPr>
            <b/>
            <sz val="9"/>
            <rFont val="Tahoma"/>
            <charset val="134"/>
          </rPr>
          <t>Ripple Ratio</t>
        </r>
        <r>
          <rPr>
            <sz val="9"/>
            <rFont val="Tahoma"/>
            <charset val="134"/>
          </rPr>
          <t xml:space="preserve">
Select the maximum ripple ratio of the inductor current. The maximum ripple ratio occurs when the duty cycle is 33%. 
Typically a good maximum ripple current is in the 50% to 70% range. In this range there is a good trade off between efficiency and the minimum RHP zero frequency of the plant
If cell H19 is equal to 1, this input cell is not condsidered as DCM operation is required to achieve the desired ste-up ratio. For the case the maximum duty cycyle is set to be 70%.</t>
        </r>
      </text>
    </comment>
    <comment ref="G22" authorId="0">
      <text>
        <r>
          <rPr>
            <b/>
            <sz val="9"/>
            <rFont val="Tahoma"/>
            <charset val="134"/>
          </rPr>
          <t xml:space="preserve">Filter Inductance:
</t>
        </r>
        <r>
          <rPr>
            <sz val="9"/>
            <rFont val="Tahoma"/>
            <charset val="134"/>
          </rPr>
          <t xml:space="preserve">Enter the filter inductance here.
</t>
        </r>
      </text>
    </comment>
    <comment ref="G23" authorId="0">
      <text>
        <r>
          <rPr>
            <b/>
            <sz val="9"/>
            <rFont val="Tahoma"/>
            <charset val="134"/>
          </rPr>
          <t>Peak Inductor Current</t>
        </r>
        <r>
          <rPr>
            <sz val="9"/>
            <rFont val="Tahoma"/>
            <charset val="134"/>
          </rPr>
          <t xml:space="preserve">
Maximum peak inductor current during normal operation.  The peak current limit calculations are based on this value</t>
        </r>
      </text>
    </comment>
    <comment ref="G26" authorId="0">
      <text>
        <r>
          <rPr>
            <b/>
            <sz val="9"/>
            <rFont val="Tahoma"/>
            <charset val="134"/>
          </rPr>
          <t>Peak Current Limit Margin</t>
        </r>
        <r>
          <rPr>
            <sz val="9"/>
            <rFont val="Tahoma"/>
            <charset val="134"/>
          </rPr>
          <t xml:space="preserve">
Minimum value is 15%
Margin above the calculated peak inductor current. Margin must be given to allow for load transients and component tolerances.</t>
        </r>
      </text>
    </comment>
    <comment ref="G27" authorId="0">
      <text>
        <r>
          <rPr>
            <b/>
            <sz val="9"/>
            <rFont val="Tahoma"/>
            <charset val="134"/>
          </rPr>
          <t xml:space="preserve">Selected Peak Inductor Current Limt
</t>
        </r>
        <r>
          <rPr>
            <sz val="9"/>
            <rFont val="Tahoma"/>
            <charset val="134"/>
          </rPr>
          <t xml:space="preserve">
Peak inductor current limit based on the margin and the steady state peak inductor current at V</t>
        </r>
        <r>
          <rPr>
            <vertAlign val="subscript"/>
            <sz val="9"/>
            <rFont val="Tahoma"/>
            <charset val="134"/>
          </rPr>
          <t>IN_MIN</t>
        </r>
        <r>
          <rPr>
            <sz val="9"/>
            <rFont val="Tahoma"/>
            <charset val="134"/>
          </rPr>
          <t xml:space="preserve"> and maximum output current</t>
        </r>
      </text>
    </comment>
    <comment ref="G28" authorId="0">
      <text>
        <r>
          <rPr>
            <b/>
            <sz val="9"/>
            <rFont val="Tahoma"/>
            <charset val="134"/>
          </rPr>
          <t>Current Sense Resistor Calculation</t>
        </r>
        <r>
          <rPr>
            <sz val="9"/>
            <rFont val="Tahoma"/>
            <charset val="134"/>
          </rPr>
          <t xml:space="preserve">
Calculated current sense resistor based on the desired maximum peak current limit. 
</t>
        </r>
      </text>
    </comment>
    <comment ref="G40" authorId="0">
      <text>
        <r>
          <rPr>
            <sz val="11"/>
            <rFont val="Tahoma"/>
            <charset val="134"/>
          </rPr>
          <t>This is the desired load transient output voltage dip for the a 50% to 100% load step on the output.</t>
        </r>
        <r>
          <rPr>
            <sz val="9"/>
            <rFont val="Tahoma"/>
            <charset val="134"/>
          </rPr>
          <t xml:space="preserve">
</t>
        </r>
      </text>
    </comment>
    <comment ref="G59" authorId="0">
      <text>
        <r>
          <rPr>
            <b/>
            <sz val="9"/>
            <rFont val="Tahoma"/>
            <charset val="134"/>
          </rPr>
          <t xml:space="preserve">Changes the input voltage value. Allow for evaluation of the control loop ane efficiency at different input voltages.
</t>
        </r>
        <r>
          <rPr>
            <b/>
            <sz val="9"/>
            <color indexed="10"/>
            <rFont val="Tahoma"/>
            <charset val="134"/>
          </rPr>
          <t>The text in the cell is flagged red if:
-The variable input voltage is less than the minimum input voltage
-The variable input voltage is greater than the maximum input voltage</t>
        </r>
      </text>
    </comment>
  </commentList>
</comments>
</file>

<file path=xl/comments2.xml><?xml version="1.0" encoding="utf-8"?>
<comments xmlns="http://schemas.openxmlformats.org/spreadsheetml/2006/main">
  <authors>
    <author>BMC-BCS</author>
  </authors>
  <commentList>
    <comment ref="B21" authorId="0">
      <text>
        <r>
          <rPr>
            <b/>
            <sz val="9"/>
            <rFont val="Tahoma"/>
            <charset val="134"/>
          </rPr>
          <t xml:space="preserve">Forced off time limit? 
[1 True, 0 False]
Just comparing the maximum duty cycle of the IC and the ideal duty cycle of the step up ratio
</t>
        </r>
        <r>
          <rPr>
            <sz val="9"/>
            <rFont val="Tahoma"/>
            <charset val="134"/>
          </rPr>
          <t xml:space="preserve">
</t>
        </r>
      </text>
    </comment>
    <comment ref="K121" authorId="0">
      <text>
        <r>
          <rPr>
            <b/>
            <sz val="9"/>
            <rFont val="Tahoma"/>
            <charset val="134"/>
          </rPr>
          <t xml:space="preserve">Slope Compensation flag. If this flag is tripped there is not enough slope compensation. Double check the calculated values. 
</t>
        </r>
        <r>
          <rPr>
            <sz val="9"/>
            <rFont val="Tahoma"/>
            <charset val="134"/>
          </rPr>
          <t xml:space="preserve">
</t>
        </r>
      </text>
    </comment>
    <comment ref="K122" authorId="0">
      <text>
        <r>
          <rPr>
            <sz val="9"/>
            <rFont val="Tahoma"/>
            <charset val="134"/>
          </rPr>
          <t xml:space="preserve">Tripped if the current sense resistor results in a lower current limit
</t>
        </r>
      </text>
    </comment>
  </commentList>
</comments>
</file>

<file path=xl/comments3.xml><?xml version="1.0" encoding="utf-8"?>
<comments xmlns="http://schemas.openxmlformats.org/spreadsheetml/2006/main">
  <authors>
    <author>BMC-BCS</author>
  </authors>
  <commentList>
    <comment ref="V6" authorId="0">
      <text>
        <r>
          <rPr>
            <b/>
            <sz val="9"/>
            <rFont val="Tahoma"/>
            <charset val="134"/>
          </rPr>
          <t xml:space="preserve">1 = DCM operation
2 = CCM operation
</t>
        </r>
      </text>
    </comment>
    <comment ref="AG6" authorId="0">
      <text>
        <r>
          <rPr>
            <b/>
            <sz val="9"/>
            <rFont val="Tahoma"/>
            <charset val="134"/>
          </rPr>
          <t>BMC-BCS:</t>
        </r>
        <r>
          <rPr>
            <sz val="9"/>
            <rFont val="Tahoma"/>
            <charset val="134"/>
          </rPr>
          <t xml:space="preserve">
Estimating uisng Average current. Needs to be updated for RMS current
</t>
        </r>
      </text>
    </comment>
    <comment ref="AK6" authorId="0">
      <text>
        <r>
          <rPr>
            <b/>
            <sz val="9"/>
            <rFont val="Tahoma"/>
            <charset val="134"/>
          </rPr>
          <t>BMC-BCS:</t>
        </r>
        <r>
          <rPr>
            <sz val="9"/>
            <rFont val="Tahoma"/>
            <charset val="134"/>
          </rPr>
          <t xml:space="preserve">
Written for boost. Needs to be updated but no big rush
</t>
        </r>
      </text>
    </comment>
  </commentList>
</comments>
</file>

<file path=xl/comments4.xml><?xml version="1.0" encoding="utf-8"?>
<comments xmlns="http://schemas.openxmlformats.org/spreadsheetml/2006/main">
  <authors>
    <author>BMC-BCS</author>
  </authors>
  <commentList>
    <comment ref="O18" authorId="0">
      <text>
        <r>
          <rPr>
            <b/>
            <sz val="9"/>
            <rFont val="Tahoma"/>
            <charset val="134"/>
          </rPr>
          <t>BMC-BCS:</t>
        </r>
        <r>
          <rPr>
            <sz val="9"/>
            <rFont val="Tahoma"/>
            <charset val="134"/>
          </rPr>
          <t xml:space="preserve">
Need to make this log not linear at some point
</t>
        </r>
      </text>
    </comment>
  </commentList>
</comments>
</file>

<file path=xl/sharedStrings.xml><?xml version="1.0" encoding="utf-8"?>
<sst xmlns="http://schemas.openxmlformats.org/spreadsheetml/2006/main" count="983" uniqueCount="574">
  <si>
    <t>LM3478-88 DC/DC Coupled Inductor SEPIC Controller Design Tool</t>
  </si>
  <si>
    <t>ABOUT</t>
  </si>
  <si>
    <t>=Input Box</t>
  </si>
  <si>
    <t>TERMS OF USE</t>
  </si>
  <si>
    <t>October-2024</t>
  </si>
  <si>
    <t>Step 1: Design Specifications</t>
  </si>
  <si>
    <r>
      <rPr>
        <sz val="10"/>
        <color theme="1"/>
        <rFont val="Calibri"/>
        <charset val="134"/>
        <scheme val="minor"/>
      </rPr>
      <t>Minimum Input Supply Voltage , V</t>
    </r>
    <r>
      <rPr>
        <vertAlign val="subscript"/>
        <sz val="10"/>
        <color theme="1"/>
        <rFont val="Calibri"/>
        <charset val="134"/>
        <scheme val="minor"/>
      </rPr>
      <t>SUPPLY(min)</t>
    </r>
    <r>
      <rPr>
        <sz val="10"/>
        <color theme="1"/>
        <rFont val="Calibri"/>
        <charset val="134"/>
        <scheme val="minor"/>
      </rPr>
      <t xml:space="preserve"> </t>
    </r>
  </si>
  <si>
    <t>V</t>
  </si>
  <si>
    <r>
      <rPr>
        <sz val="10"/>
        <color theme="1"/>
        <rFont val="Calibri"/>
        <charset val="134"/>
        <scheme val="minor"/>
      </rPr>
      <t>Typical Input Supply Voltage, V</t>
    </r>
    <r>
      <rPr>
        <vertAlign val="subscript"/>
        <sz val="10"/>
        <color theme="1"/>
        <rFont val="Calibri"/>
        <charset val="134"/>
        <scheme val="minor"/>
      </rPr>
      <t>SUPPLY(typ)</t>
    </r>
    <r>
      <rPr>
        <sz val="10"/>
        <color theme="1"/>
        <rFont val="Calibri"/>
        <charset val="134"/>
        <scheme val="minor"/>
      </rPr>
      <t xml:space="preserve"> </t>
    </r>
  </si>
  <si>
    <r>
      <rPr>
        <sz val="10"/>
        <color theme="1"/>
        <rFont val="Calibri"/>
        <charset val="134"/>
        <scheme val="minor"/>
      </rPr>
      <t>Maximum Input Supply Voltage , V</t>
    </r>
    <r>
      <rPr>
        <vertAlign val="subscript"/>
        <sz val="10"/>
        <color theme="1"/>
        <rFont val="Calibri"/>
        <charset val="134"/>
        <scheme val="minor"/>
      </rPr>
      <t>SUPPLY(max)</t>
    </r>
    <r>
      <rPr>
        <sz val="10"/>
        <color theme="1"/>
        <rFont val="Calibri"/>
        <charset val="134"/>
        <scheme val="minor"/>
      </rPr>
      <t xml:space="preserve"> </t>
    </r>
  </si>
  <si>
    <r>
      <rPr>
        <sz val="10"/>
        <color theme="1"/>
        <rFont val="Calibri"/>
        <charset val="134"/>
        <scheme val="minor"/>
      </rPr>
      <t>Output Target Voltage, V</t>
    </r>
    <r>
      <rPr>
        <vertAlign val="subscript"/>
        <sz val="10"/>
        <color theme="1"/>
        <rFont val="Calibri"/>
        <charset val="134"/>
        <scheme val="minor"/>
      </rPr>
      <t>LOAD</t>
    </r>
    <r>
      <rPr>
        <sz val="10"/>
        <color theme="1"/>
        <rFont val="Calibri"/>
        <charset val="134"/>
        <scheme val="minor"/>
      </rPr>
      <t xml:space="preserve"> </t>
    </r>
  </si>
  <si>
    <r>
      <rPr>
        <sz val="10"/>
        <color theme="1"/>
        <rFont val="Calibri"/>
        <charset val="134"/>
        <scheme val="minor"/>
      </rPr>
      <t>Maximum Output Current , I</t>
    </r>
    <r>
      <rPr>
        <vertAlign val="subscript"/>
        <sz val="10"/>
        <color theme="1"/>
        <rFont val="Calibri"/>
        <charset val="134"/>
        <scheme val="minor"/>
      </rPr>
      <t>LOAD</t>
    </r>
    <r>
      <rPr>
        <sz val="10"/>
        <color theme="1"/>
        <rFont val="Calibri"/>
        <charset val="134"/>
        <scheme val="minor"/>
      </rPr>
      <t xml:space="preserve"> </t>
    </r>
  </si>
  <si>
    <t>A</t>
  </si>
  <si>
    <r>
      <rPr>
        <sz val="10"/>
        <color theme="1"/>
        <rFont val="Calibri"/>
        <charset val="134"/>
        <scheme val="minor"/>
      </rPr>
      <t>Free Running Switching Frequency, F</t>
    </r>
    <r>
      <rPr>
        <vertAlign val="subscript"/>
        <sz val="10"/>
        <color theme="1"/>
        <rFont val="Calibri"/>
        <charset val="134"/>
        <scheme val="minor"/>
      </rPr>
      <t>SW</t>
    </r>
  </si>
  <si>
    <t>kHz</t>
  </si>
  <si>
    <r>
      <rPr>
        <sz val="10"/>
        <color theme="1"/>
        <rFont val="Calibri"/>
        <charset val="134"/>
        <scheme val="minor"/>
      </rPr>
      <t>Free running Oscillator Set Resistor, R</t>
    </r>
    <r>
      <rPr>
        <vertAlign val="subscript"/>
        <sz val="10"/>
        <color theme="1"/>
        <rFont val="Calibri"/>
        <charset val="134"/>
        <scheme val="minor"/>
      </rPr>
      <t>T</t>
    </r>
  </si>
  <si>
    <r>
      <rPr>
        <sz val="11"/>
        <color theme="1"/>
        <rFont val="Calibri"/>
        <charset val="134"/>
        <scheme val="minor"/>
      </rPr>
      <t>k</t>
    </r>
    <r>
      <rPr>
        <sz val="11"/>
        <color theme="1"/>
        <rFont val="Calibri"/>
        <charset val="134"/>
      </rPr>
      <t>Ω</t>
    </r>
  </si>
  <si>
    <r>
      <rPr>
        <sz val="10"/>
        <color theme="1"/>
        <rFont val="Calibri"/>
        <charset val="134"/>
        <scheme val="minor"/>
      </rPr>
      <t>Output Power, P</t>
    </r>
    <r>
      <rPr>
        <vertAlign val="subscript"/>
        <sz val="10"/>
        <color theme="1"/>
        <rFont val="Calibri"/>
        <charset val="134"/>
        <scheme val="minor"/>
      </rPr>
      <t>OUT</t>
    </r>
    <r>
      <rPr>
        <sz val="10"/>
        <color theme="1"/>
        <rFont val="Calibri"/>
        <charset val="134"/>
        <scheme val="minor"/>
      </rPr>
      <t xml:space="preserve"> </t>
    </r>
  </si>
  <si>
    <t>W</t>
  </si>
  <si>
    <r>
      <rPr>
        <sz val="10"/>
        <color theme="1"/>
        <rFont val="Calibri"/>
        <charset val="134"/>
        <scheme val="minor"/>
      </rPr>
      <t>Recommended maximum duty cycle LM3478-88 at V</t>
    </r>
    <r>
      <rPr>
        <vertAlign val="subscript"/>
        <sz val="10"/>
        <color theme="1"/>
        <rFont val="Calibri"/>
        <charset val="134"/>
        <scheme val="minor"/>
      </rPr>
      <t>SUPPLY(MIN)</t>
    </r>
  </si>
  <si>
    <t>%</t>
  </si>
  <si>
    <r>
      <rPr>
        <sz val="10"/>
        <color theme="1"/>
        <rFont val="Calibri"/>
        <charset val="134"/>
        <scheme val="minor"/>
      </rPr>
      <t>Ideal Duty Cycle at V</t>
    </r>
    <r>
      <rPr>
        <vertAlign val="subscript"/>
        <sz val="10"/>
        <color theme="1"/>
        <rFont val="Calibri"/>
        <charset val="134"/>
        <scheme val="minor"/>
      </rPr>
      <t xml:space="preserve">SUPPLY(MIN) </t>
    </r>
  </si>
  <si>
    <t>Step 2: Filter Inductor</t>
  </si>
  <si>
    <t>Required Mode of Operation:</t>
  </si>
  <si>
    <r>
      <rPr>
        <sz val="10"/>
        <color theme="1"/>
        <rFont val="Calibri"/>
        <charset val="134"/>
        <scheme val="minor"/>
      </rPr>
      <t>Desired Maximum Inductor Current Ripple Ratio (I</t>
    </r>
    <r>
      <rPr>
        <vertAlign val="subscript"/>
        <sz val="10"/>
        <color theme="1"/>
        <rFont val="Calibri"/>
        <charset val="134"/>
        <scheme val="minor"/>
      </rPr>
      <t>RR_MAX</t>
    </r>
    <r>
      <rPr>
        <sz val="10"/>
        <color theme="1"/>
        <rFont val="Calibri"/>
        <charset val="134"/>
        <scheme val="minor"/>
      </rPr>
      <t>)</t>
    </r>
  </si>
  <si>
    <r>
      <rPr>
        <sz val="10"/>
        <color theme="1"/>
        <rFont val="Calibri"/>
        <charset val="134"/>
        <scheme val="minor"/>
      </rPr>
      <t>Recommended Inductance (L</t>
    </r>
    <r>
      <rPr>
        <vertAlign val="subscript"/>
        <sz val="10"/>
        <color theme="1"/>
        <rFont val="Calibri"/>
        <charset val="134"/>
        <scheme val="minor"/>
      </rPr>
      <t>M_CALC</t>
    </r>
    <r>
      <rPr>
        <sz val="10"/>
        <color theme="1"/>
        <rFont val="Calibri"/>
        <charset val="134"/>
        <scheme val="minor"/>
      </rPr>
      <t>)</t>
    </r>
  </si>
  <si>
    <t>uH</t>
  </si>
  <si>
    <r>
      <rPr>
        <sz val="10"/>
        <color theme="1"/>
        <rFont val="Calibri"/>
        <charset val="134"/>
        <scheme val="minor"/>
      </rPr>
      <t>User Selection. Inductance, (L</t>
    </r>
    <r>
      <rPr>
        <vertAlign val="subscript"/>
        <sz val="10"/>
        <color theme="1"/>
        <rFont val="Calibri"/>
        <charset val="134"/>
        <scheme val="minor"/>
      </rPr>
      <t>M</t>
    </r>
    <r>
      <rPr>
        <sz val="10"/>
        <color theme="1"/>
        <rFont val="Calibri"/>
        <charset val="134"/>
        <scheme val="minor"/>
      </rPr>
      <t>)</t>
    </r>
  </si>
  <si>
    <r>
      <rPr>
        <sz val="10"/>
        <color theme="1"/>
        <rFont val="Calibri"/>
        <charset val="134"/>
        <scheme val="minor"/>
      </rPr>
      <t>Peak inductor current, IL</t>
    </r>
    <r>
      <rPr>
        <vertAlign val="subscript"/>
        <sz val="10"/>
        <color theme="1"/>
        <rFont val="Calibri"/>
        <charset val="134"/>
        <scheme val="minor"/>
      </rPr>
      <t>PK</t>
    </r>
  </si>
  <si>
    <t>Step 3: Current Sense Resistor Selection</t>
  </si>
  <si>
    <t>Peak Current Limit Margin</t>
  </si>
  <si>
    <r>
      <rPr>
        <sz val="11"/>
        <color theme="1"/>
        <rFont val="Calibri"/>
        <charset val="134"/>
        <scheme val="minor"/>
      </rPr>
      <t>Selected Peak Current limit (IL</t>
    </r>
    <r>
      <rPr>
        <vertAlign val="subscript"/>
        <sz val="11"/>
        <color theme="1"/>
        <rFont val="Calibri"/>
        <charset val="134"/>
        <scheme val="minor"/>
      </rPr>
      <t>SW_select</t>
    </r>
    <r>
      <rPr>
        <sz val="11"/>
        <color theme="1"/>
        <rFont val="Calibri"/>
        <charset val="134"/>
        <scheme val="minor"/>
      </rPr>
      <t>)</t>
    </r>
  </si>
  <si>
    <r>
      <rPr>
        <sz val="11"/>
        <color theme="1"/>
        <rFont val="Calibri"/>
        <charset val="134"/>
        <scheme val="minor"/>
      </rPr>
      <t>Recommended current sense Resistor (R</t>
    </r>
    <r>
      <rPr>
        <vertAlign val="subscript"/>
        <sz val="11"/>
        <color theme="1"/>
        <rFont val="Calibri"/>
        <charset val="134"/>
        <scheme val="minor"/>
      </rPr>
      <t>S</t>
    </r>
    <r>
      <rPr>
        <sz val="11"/>
        <color theme="1"/>
        <rFont val="Calibri"/>
        <charset val="134"/>
        <scheme val="minor"/>
      </rPr>
      <t>)</t>
    </r>
  </si>
  <si>
    <r>
      <rPr>
        <sz val="11"/>
        <color theme="1"/>
        <rFont val="Calibri"/>
        <charset val="134"/>
        <scheme val="minor"/>
      </rPr>
      <t>m</t>
    </r>
    <r>
      <rPr>
        <sz val="11"/>
        <color theme="1"/>
        <rFont val="Calibri"/>
        <charset val="134"/>
      </rPr>
      <t>Ω</t>
    </r>
  </si>
  <si>
    <r>
      <rPr>
        <sz val="11"/>
        <color theme="1"/>
        <rFont val="Calibri"/>
        <charset val="134"/>
        <scheme val="minor"/>
      </rPr>
      <t>Recommended external slope compensation Resistor (R</t>
    </r>
    <r>
      <rPr>
        <vertAlign val="subscript"/>
        <sz val="11"/>
        <color theme="1"/>
        <rFont val="Calibri"/>
        <charset val="134"/>
        <scheme val="minor"/>
      </rPr>
      <t>SL</t>
    </r>
    <r>
      <rPr>
        <sz val="11"/>
        <color theme="1"/>
        <rFont val="Calibri"/>
        <charset val="134"/>
        <scheme val="minor"/>
      </rPr>
      <t>)</t>
    </r>
  </si>
  <si>
    <t>Ω</t>
  </si>
  <si>
    <r>
      <rPr>
        <sz val="11"/>
        <color theme="1"/>
        <rFont val="Calibri"/>
        <charset val="134"/>
        <scheme val="minor"/>
      </rPr>
      <t>Selected current sense Resistor (R</t>
    </r>
    <r>
      <rPr>
        <vertAlign val="subscript"/>
        <sz val="11"/>
        <color theme="1"/>
        <rFont val="Calibri"/>
        <charset val="134"/>
        <scheme val="minor"/>
      </rPr>
      <t>S</t>
    </r>
    <r>
      <rPr>
        <sz val="11"/>
        <color theme="1"/>
        <rFont val="Calibri"/>
        <charset val="134"/>
        <scheme val="minor"/>
      </rPr>
      <t>)</t>
    </r>
  </si>
  <si>
    <r>
      <rPr>
        <sz val="11"/>
        <color theme="1"/>
        <rFont val="Calibri"/>
        <charset val="134"/>
        <scheme val="minor"/>
      </rPr>
      <t>Selected external slope compensation Resistor (R</t>
    </r>
    <r>
      <rPr>
        <vertAlign val="subscript"/>
        <sz val="11"/>
        <color theme="1"/>
        <rFont val="Calibri"/>
        <charset val="134"/>
        <scheme val="minor"/>
      </rPr>
      <t>SL</t>
    </r>
    <r>
      <rPr>
        <sz val="11"/>
        <color theme="1"/>
        <rFont val="Calibri"/>
        <charset val="134"/>
        <scheme val="minor"/>
      </rPr>
      <t>)</t>
    </r>
  </si>
  <si>
    <t>Actual switch peak current limit</t>
  </si>
  <si>
    <r>
      <rPr>
        <b/>
        <sz val="11"/>
        <color rgb="FF0070C0"/>
        <rFont val="Calibri"/>
        <charset val="134"/>
        <scheme val="minor"/>
      </rPr>
      <t>Step 4: C</t>
    </r>
    <r>
      <rPr>
        <b/>
        <vertAlign val="subscript"/>
        <sz val="11"/>
        <color rgb="FF0070C0"/>
        <rFont val="Calibri"/>
        <charset val="134"/>
        <scheme val="minor"/>
      </rPr>
      <t>AC</t>
    </r>
    <r>
      <rPr>
        <b/>
        <sz val="11"/>
        <color rgb="FF0070C0"/>
        <rFont val="Calibri"/>
        <charset val="134"/>
        <scheme val="minor"/>
      </rPr>
      <t xml:space="preserve"> Capacitor Selection</t>
    </r>
  </si>
  <si>
    <r>
      <rPr>
        <sz val="11"/>
        <color theme="1"/>
        <rFont val="Calibri"/>
        <charset val="134"/>
        <scheme val="minor"/>
      </rPr>
      <t>Minimum couplpling capacitor value (C</t>
    </r>
    <r>
      <rPr>
        <vertAlign val="subscript"/>
        <sz val="11"/>
        <color theme="1"/>
        <rFont val="Calibri"/>
        <charset val="134"/>
        <scheme val="minor"/>
      </rPr>
      <t>AC_min</t>
    </r>
    <r>
      <rPr>
        <sz val="11"/>
        <color theme="1"/>
        <rFont val="Calibri"/>
        <charset val="134"/>
        <scheme val="minor"/>
      </rPr>
      <t>)</t>
    </r>
  </si>
  <si>
    <t>uF</t>
  </si>
  <si>
    <r>
      <rPr>
        <sz val="11"/>
        <color theme="1"/>
        <rFont val="Calibri"/>
        <charset val="134"/>
        <scheme val="minor"/>
      </rPr>
      <t>Selected Coupling Capacitor (C</t>
    </r>
    <r>
      <rPr>
        <vertAlign val="subscript"/>
        <sz val="11"/>
        <color theme="1"/>
        <rFont val="Calibri"/>
        <charset val="134"/>
        <scheme val="minor"/>
      </rPr>
      <t>AC</t>
    </r>
    <r>
      <rPr>
        <sz val="11"/>
        <color theme="1"/>
        <rFont val="Calibri"/>
        <charset val="134"/>
        <scheme val="minor"/>
      </rPr>
      <t>)</t>
    </r>
  </si>
  <si>
    <r>
      <rPr>
        <sz val="11"/>
        <color theme="1"/>
        <rFont val="Calibri"/>
        <charset val="134"/>
        <scheme val="minor"/>
      </rPr>
      <t>Minimuum require C</t>
    </r>
    <r>
      <rPr>
        <vertAlign val="subscript"/>
        <sz val="11"/>
        <color theme="1"/>
        <rFont val="Calibri"/>
        <charset val="134"/>
        <scheme val="minor"/>
      </rPr>
      <t>AC</t>
    </r>
    <r>
      <rPr>
        <sz val="11"/>
        <color theme="1"/>
        <rFont val="Calibri"/>
        <charset val="134"/>
        <scheme val="minor"/>
      </rPr>
      <t xml:space="preserve"> RMS current Rating</t>
    </r>
  </si>
  <si>
    <t>Step 5: Output Capacitor Selection</t>
  </si>
  <si>
    <r>
      <rPr>
        <sz val="11"/>
        <color theme="1"/>
        <rFont val="Calibri"/>
        <charset val="134"/>
        <scheme val="minor"/>
      </rPr>
      <t>Desired load step ripple voltage (</t>
    </r>
    <r>
      <rPr>
        <sz val="11"/>
        <color theme="1"/>
        <rFont val="Calibri"/>
        <charset val="134"/>
      </rPr>
      <t>Δv</t>
    </r>
    <r>
      <rPr>
        <vertAlign val="subscript"/>
        <sz val="11"/>
        <color theme="1"/>
        <rFont val="Calibri"/>
        <charset val="134"/>
      </rPr>
      <t>OUT</t>
    </r>
    <r>
      <rPr>
        <sz val="11"/>
        <color theme="1"/>
        <rFont val="Calibri"/>
        <charset val="134"/>
      </rPr>
      <t>)</t>
    </r>
  </si>
  <si>
    <t>mV</t>
  </si>
  <si>
    <t xml:space="preserve">Minimum output capacitance </t>
  </si>
  <si>
    <r>
      <rPr>
        <sz val="11"/>
        <color theme="1"/>
        <rFont val="Calibri"/>
        <charset val="134"/>
        <scheme val="minor"/>
      </rPr>
      <t>Capacitor RMS current (I</t>
    </r>
    <r>
      <rPr>
        <vertAlign val="subscript"/>
        <sz val="11"/>
        <color theme="1"/>
        <rFont val="Calibri"/>
        <charset val="134"/>
        <scheme val="minor"/>
      </rPr>
      <t>RMS_COUT</t>
    </r>
    <r>
      <rPr>
        <sz val="11"/>
        <color theme="1"/>
        <rFont val="Calibri"/>
        <charset val="134"/>
        <scheme val="minor"/>
      </rPr>
      <t>)</t>
    </r>
  </si>
  <si>
    <r>
      <rPr>
        <sz val="11"/>
        <color theme="1"/>
        <rFont val="Calibri"/>
        <charset val="134"/>
        <scheme val="minor"/>
      </rPr>
      <t>Selected Output Capacitance (C</t>
    </r>
    <r>
      <rPr>
        <vertAlign val="subscript"/>
        <sz val="11"/>
        <color theme="1"/>
        <rFont val="Calibri"/>
        <charset val="134"/>
        <scheme val="minor"/>
      </rPr>
      <t>OUT</t>
    </r>
    <r>
      <rPr>
        <sz val="11"/>
        <color theme="1"/>
        <rFont val="Calibri"/>
        <charset val="134"/>
        <scheme val="minor"/>
      </rPr>
      <t>)</t>
    </r>
  </si>
  <si>
    <r>
      <rPr>
        <sz val="11"/>
        <color theme="1"/>
        <rFont val="Calibri"/>
        <charset val="134"/>
        <scheme val="minor"/>
      </rPr>
      <t>Equivalent  COUT ESR (R</t>
    </r>
    <r>
      <rPr>
        <vertAlign val="subscript"/>
        <sz val="11"/>
        <color theme="1"/>
        <rFont val="Calibri"/>
        <charset val="134"/>
        <scheme val="minor"/>
      </rPr>
      <t>ESR</t>
    </r>
    <r>
      <rPr>
        <sz val="11"/>
        <color theme="1"/>
        <rFont val="Calibri"/>
        <charset val="134"/>
        <scheme val="minor"/>
      </rPr>
      <t>)</t>
    </r>
  </si>
  <si>
    <t>Step  6: Loop Compensation</t>
  </si>
  <si>
    <r>
      <rPr>
        <sz val="11"/>
        <rFont val="Calibri"/>
        <charset val="134"/>
        <scheme val="minor"/>
      </rPr>
      <t>Voltage selected (V</t>
    </r>
    <r>
      <rPr>
        <vertAlign val="subscript"/>
        <sz val="11"/>
        <rFont val="Calibri"/>
        <charset val="134"/>
        <scheme val="minor"/>
      </rPr>
      <t>IN_VAR</t>
    </r>
    <r>
      <rPr>
        <sz val="11"/>
        <rFont val="Calibri"/>
        <charset val="134"/>
        <scheme val="minor"/>
      </rPr>
      <t>)</t>
    </r>
  </si>
  <si>
    <t>Feedback Resistor Selection</t>
  </si>
  <si>
    <r>
      <rPr>
        <sz val="11"/>
        <color theme="1"/>
        <rFont val="Calibri"/>
        <charset val="134"/>
        <scheme val="minor"/>
      </rPr>
      <t>Select a top feedback resistor(R</t>
    </r>
    <r>
      <rPr>
        <vertAlign val="subscript"/>
        <sz val="11"/>
        <color theme="1"/>
        <rFont val="Calibri"/>
        <charset val="134"/>
        <scheme val="minor"/>
      </rPr>
      <t>FBT</t>
    </r>
    <r>
      <rPr>
        <sz val="11"/>
        <color theme="1"/>
        <rFont val="Calibri"/>
        <charset val="134"/>
        <scheme val="minor"/>
      </rPr>
      <t>)</t>
    </r>
  </si>
  <si>
    <t>kΩ</t>
  </si>
  <si>
    <r>
      <rPr>
        <sz val="11"/>
        <color theme="1"/>
        <rFont val="Calibri"/>
        <charset val="134"/>
        <scheme val="minor"/>
      </rPr>
      <t>Calculated bottom feedback resistor (R</t>
    </r>
    <r>
      <rPr>
        <vertAlign val="subscript"/>
        <sz val="11"/>
        <color theme="1"/>
        <rFont val="Calibri"/>
        <charset val="134"/>
        <scheme val="minor"/>
      </rPr>
      <t>FBB_cala</t>
    </r>
    <r>
      <rPr>
        <sz val="11"/>
        <color theme="1"/>
        <rFont val="Calibri"/>
        <charset val="134"/>
        <scheme val="minor"/>
      </rPr>
      <t>)</t>
    </r>
  </si>
  <si>
    <r>
      <rPr>
        <sz val="11"/>
        <color theme="1"/>
        <rFont val="Calibri"/>
        <charset val="134"/>
        <scheme val="minor"/>
      </rPr>
      <t>Select a bottomresistor based on calculated balue(R</t>
    </r>
    <r>
      <rPr>
        <vertAlign val="subscript"/>
        <sz val="11"/>
        <color theme="1"/>
        <rFont val="Calibri"/>
        <charset val="134"/>
        <scheme val="minor"/>
      </rPr>
      <t>FBB</t>
    </r>
    <r>
      <rPr>
        <sz val="11"/>
        <color theme="1"/>
        <rFont val="Calibri"/>
        <charset val="134"/>
        <scheme val="minor"/>
      </rPr>
      <t>)</t>
    </r>
  </si>
  <si>
    <t>Suggested bandwidth</t>
  </si>
  <si>
    <r>
      <rPr>
        <sz val="11"/>
        <color theme="1"/>
        <rFont val="Calibri"/>
        <charset val="134"/>
        <scheme val="minor"/>
      </rPr>
      <t>Selected band width (F</t>
    </r>
    <r>
      <rPr>
        <vertAlign val="subscript"/>
        <sz val="11"/>
        <color theme="1"/>
        <rFont val="Calibri"/>
        <charset val="134"/>
        <scheme val="minor"/>
      </rPr>
      <t>CO</t>
    </r>
    <r>
      <rPr>
        <sz val="11"/>
        <color theme="1"/>
        <rFont val="Calibri"/>
        <charset val="134"/>
        <scheme val="minor"/>
      </rPr>
      <t>)</t>
    </r>
  </si>
  <si>
    <t>Calculated</t>
  </si>
  <si>
    <t>Selected</t>
  </si>
  <si>
    <r>
      <rPr>
        <sz val="11"/>
        <color theme="1"/>
        <rFont val="Calibri"/>
        <charset val="134"/>
        <scheme val="minor"/>
      </rPr>
      <t>R</t>
    </r>
    <r>
      <rPr>
        <vertAlign val="subscript"/>
        <sz val="11"/>
        <color theme="1"/>
        <rFont val="Calibri"/>
        <charset val="134"/>
        <scheme val="minor"/>
      </rPr>
      <t>COMP</t>
    </r>
  </si>
  <si>
    <r>
      <rPr>
        <sz val="11"/>
        <color theme="1"/>
        <rFont val="Calibri"/>
        <charset val="134"/>
        <scheme val="minor"/>
      </rPr>
      <t>C</t>
    </r>
    <r>
      <rPr>
        <vertAlign val="subscript"/>
        <sz val="11"/>
        <color theme="1"/>
        <rFont val="Calibri"/>
        <charset val="134"/>
        <scheme val="minor"/>
      </rPr>
      <t>COMP</t>
    </r>
  </si>
  <si>
    <t>nF</t>
  </si>
  <si>
    <r>
      <rPr>
        <sz val="11"/>
        <color theme="1"/>
        <rFont val="Calibri"/>
        <charset val="134"/>
        <scheme val="minor"/>
      </rPr>
      <t>C</t>
    </r>
    <r>
      <rPr>
        <vertAlign val="subscript"/>
        <sz val="11"/>
        <color theme="1"/>
        <rFont val="Calibri"/>
        <charset val="134"/>
        <scheme val="minor"/>
      </rPr>
      <t>HF</t>
    </r>
  </si>
  <si>
    <t>pF</t>
  </si>
  <si>
    <t>Efficiency / Power Loss Analyzer</t>
  </si>
  <si>
    <t>MOSFET parameters</t>
  </si>
  <si>
    <r>
      <rPr>
        <sz val="10"/>
        <rFont val="Arial"/>
        <charset val="134"/>
      </rPr>
      <t>On-State Resistance, R</t>
    </r>
    <r>
      <rPr>
        <vertAlign val="subscript"/>
        <sz val="10"/>
        <rFont val="Arial"/>
        <charset val="134"/>
      </rPr>
      <t>DS(on)</t>
    </r>
    <r>
      <rPr>
        <sz val="10"/>
        <rFont val="Arial"/>
        <charset val="134"/>
      </rPr>
      <t xml:space="preserve"> </t>
    </r>
  </si>
  <si>
    <t>mΩ</t>
  </si>
  <si>
    <r>
      <rPr>
        <sz val="10"/>
        <rFont val="Arial"/>
        <charset val="134"/>
      </rPr>
      <t>Total Gate Charge, Q</t>
    </r>
    <r>
      <rPr>
        <vertAlign val="subscript"/>
        <sz val="10"/>
        <rFont val="Arial"/>
        <charset val="134"/>
      </rPr>
      <t>G</t>
    </r>
    <r>
      <rPr>
        <sz val="10"/>
        <rFont val="Arial"/>
        <charset val="134"/>
      </rPr>
      <t xml:space="preserve"> </t>
    </r>
  </si>
  <si>
    <t>nC</t>
  </si>
  <si>
    <r>
      <rPr>
        <sz val="10"/>
        <rFont val="Arial"/>
        <charset val="134"/>
      </rPr>
      <t>Gate-Drain Charge, Q</t>
    </r>
    <r>
      <rPr>
        <vertAlign val="subscript"/>
        <sz val="10"/>
        <rFont val="Arial"/>
        <charset val="134"/>
      </rPr>
      <t>GD</t>
    </r>
    <r>
      <rPr>
        <sz val="10"/>
        <rFont val="Arial"/>
        <charset val="134"/>
      </rPr>
      <t xml:space="preserve"> </t>
    </r>
  </si>
  <si>
    <r>
      <rPr>
        <sz val="10"/>
        <rFont val="Arial"/>
        <charset val="134"/>
      </rPr>
      <t>Gate-Source Charge, Q</t>
    </r>
    <r>
      <rPr>
        <vertAlign val="subscript"/>
        <sz val="10"/>
        <rFont val="Arial"/>
        <charset val="134"/>
      </rPr>
      <t>GS</t>
    </r>
    <r>
      <rPr>
        <sz val="10"/>
        <rFont val="Arial"/>
        <charset val="134"/>
      </rPr>
      <t xml:space="preserve"> </t>
    </r>
  </si>
  <si>
    <r>
      <rPr>
        <sz val="10"/>
        <rFont val="Arial"/>
        <charset val="134"/>
      </rPr>
      <t>Gate Resistance, R</t>
    </r>
    <r>
      <rPr>
        <vertAlign val="subscript"/>
        <sz val="10"/>
        <rFont val="Arial"/>
        <charset val="134"/>
      </rPr>
      <t>G</t>
    </r>
    <r>
      <rPr>
        <sz val="10"/>
        <rFont val="Arial"/>
        <charset val="134"/>
      </rPr>
      <t xml:space="preserve"> </t>
    </r>
  </si>
  <si>
    <t>Ω</t>
  </si>
  <si>
    <r>
      <rPr>
        <sz val="10"/>
        <rFont val="Arial"/>
        <charset val="134"/>
      </rPr>
      <t>Transconductance, g</t>
    </r>
    <r>
      <rPr>
        <vertAlign val="subscript"/>
        <sz val="10"/>
        <rFont val="Arial"/>
        <charset val="134"/>
      </rPr>
      <t>FS</t>
    </r>
    <r>
      <rPr>
        <sz val="10"/>
        <rFont val="Arial"/>
        <charset val="134"/>
      </rPr>
      <t xml:space="preserve"> </t>
    </r>
  </si>
  <si>
    <t>S</t>
  </si>
  <si>
    <r>
      <rPr>
        <sz val="10"/>
        <rFont val="Arial"/>
        <charset val="134"/>
      </rPr>
      <t>Gate-Source Threshold Voltage, V</t>
    </r>
    <r>
      <rPr>
        <vertAlign val="subscript"/>
        <sz val="10"/>
        <rFont val="Arial"/>
        <charset val="134"/>
      </rPr>
      <t>TH</t>
    </r>
    <r>
      <rPr>
        <sz val="10"/>
        <rFont val="Arial"/>
        <charset val="134"/>
      </rPr>
      <t xml:space="preserve"> </t>
    </r>
  </si>
  <si>
    <t>Diode Parameters</t>
  </si>
  <si>
    <r>
      <rPr>
        <sz val="11"/>
        <color theme="1"/>
        <rFont val="Calibri"/>
        <charset val="134"/>
        <scheme val="minor"/>
      </rPr>
      <t>Recommended minimum average current rating (I</t>
    </r>
    <r>
      <rPr>
        <vertAlign val="subscript"/>
        <sz val="11"/>
        <color theme="1"/>
        <rFont val="Calibri"/>
        <charset val="134"/>
        <scheme val="minor"/>
      </rPr>
      <t>D_AVG</t>
    </r>
    <r>
      <rPr>
        <sz val="11"/>
        <color theme="1"/>
        <rFont val="Calibri"/>
        <charset val="134"/>
        <scheme val="minor"/>
      </rPr>
      <t>)</t>
    </r>
  </si>
  <si>
    <r>
      <rPr>
        <sz val="11"/>
        <color theme="1"/>
        <rFont val="Calibri"/>
        <charset val="134"/>
        <scheme val="minor"/>
      </rPr>
      <t>Forward Voltage Drop (V</t>
    </r>
    <r>
      <rPr>
        <vertAlign val="subscript"/>
        <sz val="11"/>
        <color theme="1"/>
        <rFont val="Calibri"/>
        <charset val="134"/>
        <scheme val="minor"/>
      </rPr>
      <t>D</t>
    </r>
    <r>
      <rPr>
        <sz val="11"/>
        <color theme="1"/>
        <rFont val="Calibri"/>
        <charset val="134"/>
        <scheme val="minor"/>
      </rPr>
      <t>)</t>
    </r>
  </si>
  <si>
    <t>Reverse recovery charge of Schottky  Diode (QRR)</t>
  </si>
  <si>
    <t>Version Number</t>
  </si>
  <si>
    <t>1.0.0</t>
  </si>
  <si>
    <t>Version History</t>
  </si>
  <si>
    <t>Version</t>
  </si>
  <si>
    <t>Change List Description</t>
  </si>
  <si>
    <t>Initial Release</t>
  </si>
  <si>
    <t>EXCEL Variables Names/Calculations</t>
  </si>
  <si>
    <t>Input from user =</t>
  </si>
  <si>
    <t>Output =</t>
  </si>
  <si>
    <t xml:space="preserve">Base Calculations of </t>
  </si>
  <si>
    <t>Spec conditions</t>
  </si>
  <si>
    <t>Nominal right now</t>
  </si>
  <si>
    <t>Constant</t>
  </si>
  <si>
    <t>Variable Name</t>
  </si>
  <si>
    <t>Value</t>
  </si>
  <si>
    <t>STD Units</t>
  </si>
  <si>
    <t>Notes</t>
  </si>
  <si>
    <t>Iteration</t>
  </si>
  <si>
    <t>Flag</t>
  </si>
  <si>
    <t>Step 1: Operational Specs</t>
  </si>
  <si>
    <t>VIN_min</t>
  </si>
  <si>
    <t>Minimum input voltage</t>
  </si>
  <si>
    <t>VIN_nom</t>
  </si>
  <si>
    <t>Nominal input voltage</t>
  </si>
  <si>
    <t>VIN_max</t>
  </si>
  <si>
    <t>Maximum input voltage</t>
  </si>
  <si>
    <t>Fsw</t>
  </si>
  <si>
    <t>Hz</t>
  </si>
  <si>
    <t xml:space="preserve">Switching frequnecy </t>
  </si>
  <si>
    <t>RT</t>
  </si>
  <si>
    <t>Oscillator Set resistor. Based on the datasheet equation</t>
  </si>
  <si>
    <t>VOUT</t>
  </si>
  <si>
    <t>Target Output Voltage</t>
  </si>
  <si>
    <t>IOUT</t>
  </si>
  <si>
    <t>Maximum Output current</t>
  </si>
  <si>
    <t>ROUT</t>
  </si>
  <si>
    <t>Minimum load resistance</t>
  </si>
  <si>
    <t>POUT</t>
  </si>
  <si>
    <t>Total output power</t>
  </si>
  <si>
    <t>EFF_est</t>
  </si>
  <si>
    <t xml:space="preserve">Estimated efficiency. Assuming 95% to give some margin </t>
  </si>
  <si>
    <t>Dc_max_ideal</t>
  </si>
  <si>
    <t>Maximum duty cycle at the minimum input voltage. Includes estimated efficiency for margin</t>
  </si>
  <si>
    <t>Dc_max_IC</t>
  </si>
  <si>
    <t>Maximum IC duty cycle. Based on the forced off time. See Mathcad Calculations</t>
  </si>
  <si>
    <t>DCM_Flag</t>
  </si>
  <si>
    <t>Is discontinuous conduction mode required to achieve step up ratio?</t>
  </si>
  <si>
    <t>*Note right now DCM is not active for SEPIC calculations</t>
  </si>
  <si>
    <t>IL_coupled</t>
  </si>
  <si>
    <r>
      <rPr>
        <sz val="11"/>
        <color theme="1"/>
        <rFont val="Calibri"/>
        <charset val="134"/>
        <scheme val="minor"/>
      </rPr>
      <t xml:space="preserve">are the inductors coupled? (1 = Yes, 0 = No). </t>
    </r>
    <r>
      <rPr>
        <b/>
        <sz val="11"/>
        <color theme="1"/>
        <rFont val="Calibri"/>
        <charset val="134"/>
        <scheme val="minor"/>
      </rPr>
      <t>This will be an option in future revisions</t>
    </r>
  </si>
  <si>
    <t>CCM Operation calculations</t>
  </si>
  <si>
    <t>Calculate the inductor at nominal voltage. This should allow for the best efficiency</t>
  </si>
  <si>
    <t>ILrip</t>
  </si>
  <si>
    <t>Selected indutor ripple ratio. Will be changed later to a standard value just to keep things simple</t>
  </si>
  <si>
    <t>Lopt_2</t>
  </si>
  <si>
    <t>H</t>
  </si>
  <si>
    <t>This value used to make the selection for CCM calculations. This is done at the Nominal input voltage</t>
  </si>
  <si>
    <t>DCM Strategy</t>
  </si>
  <si>
    <t>"Currently this is set of a boost Converter. Will need to change when Supporting DCM Calculation</t>
  </si>
  <si>
    <t>DC_DCM_max</t>
  </si>
  <si>
    <t>Maximum duty cycle for DCM operation. 70% is a good starting point. Could be related to the switching frequency</t>
  </si>
  <si>
    <t>L_DCM_DC</t>
  </si>
  <si>
    <t>Select DCM duty cycle to be 70%. This will keep the ripple current fairly low and allow for efficiency drops.</t>
  </si>
  <si>
    <t>M_L_DCM</t>
  </si>
  <si>
    <t>Margin to allow for inductor ripple current to be greater than the average input current</t>
  </si>
  <si>
    <t>L_DCM_M</t>
  </si>
  <si>
    <t xml:space="preserve">Inductor value that ensures the ripple current is larger than the average input current </t>
  </si>
  <si>
    <t>L_DCM</t>
  </si>
  <si>
    <t>Select the lowest of the two inductor value calculations</t>
  </si>
  <si>
    <t>Lm_calc</t>
  </si>
  <si>
    <t>If DCM is required (high step-up ratio) output L_DCM. Otherwise output the CCM inductor value</t>
  </si>
  <si>
    <t>Lm</t>
  </si>
  <si>
    <t>Selected filter inductor</t>
  </si>
  <si>
    <t>Input from user for uncoupled design</t>
  </si>
  <si>
    <t>Lm_A</t>
  </si>
  <si>
    <t>Input coil inductance</t>
  </si>
  <si>
    <t>Lm_B</t>
  </si>
  <si>
    <t>Output coil inductance</t>
  </si>
  <si>
    <t>Rdcr</t>
  </si>
  <si>
    <t>Filter inductor DCR</t>
  </si>
  <si>
    <t>Ltol</t>
  </si>
  <si>
    <t>Assumed inductor tolerance. Constant to help simplify the user experience</t>
  </si>
  <si>
    <t>.</t>
  </si>
  <si>
    <t>Duty Cycle Calculations</t>
  </si>
  <si>
    <t>Minium input voltage</t>
  </si>
  <si>
    <t>DCc_mode_VIN_min</t>
  </si>
  <si>
    <r>
      <rPr>
        <sz val="11"/>
        <color theme="1"/>
        <rFont val="Calibri"/>
        <charset val="134"/>
        <scheme val="minor"/>
      </rPr>
      <t xml:space="preserve">Flags if the regulator is operating in CCM or DCM (1 = CCM, 0 = DCM). </t>
    </r>
    <r>
      <rPr>
        <b/>
        <sz val="11"/>
        <color theme="1"/>
        <rFont val="Calibri"/>
        <charset val="134"/>
        <scheme val="minor"/>
      </rPr>
      <t>*Currently set to CCM all the time to enusure the calculations are correct for CCM</t>
    </r>
  </si>
  <si>
    <t>Dc_VIN_min</t>
  </si>
  <si>
    <t>Duty cycle at the mimum input voltage (CCM). DCM is modeled for coupled inductor equations. Needs to me modeld of uncoupled inductors</t>
  </si>
  <si>
    <t>s</t>
  </si>
  <si>
    <t>On-time of the switch</t>
  </si>
  <si>
    <t>Input coil currents</t>
  </si>
  <si>
    <t>ILA_avg_VIN_min</t>
  </si>
  <si>
    <t>Average input current at minimum input voltage. 100% Eff assumed</t>
  </si>
  <si>
    <t>ILArip_VINmin</t>
  </si>
  <si>
    <t xml:space="preserve">Inductor ripple current at VIN min. </t>
  </si>
  <si>
    <t>ILAp_VINmin</t>
  </si>
  <si>
    <t>Peak inductor current at VIN min. Including estimated efficiency</t>
  </si>
  <si>
    <t>Output coil currents</t>
  </si>
  <si>
    <t>Outout coil inductor calculations</t>
  </si>
  <si>
    <t>ILB_avg_VIN_min</t>
  </si>
  <si>
    <t>ILBrip_VINmin</t>
  </si>
  <si>
    <t>ILBp_VINmin</t>
  </si>
  <si>
    <t>Switch currents</t>
  </si>
  <si>
    <t>ISW_peak_VIN_min</t>
  </si>
  <si>
    <t>DCc_mode_VIN_nom</t>
  </si>
  <si>
    <t>Flags if the regulator is operating in CCM or DCM (1 = CCM, 0 = DCM)</t>
  </si>
  <si>
    <t>Dc_VIN_nom</t>
  </si>
  <si>
    <t>Duty cycle at the nominal input voltage (CCM) (First order/ ideal equation)</t>
  </si>
  <si>
    <t>ILA_avg_VIN_nom</t>
  </si>
  <si>
    <t>Average input current at nominal input voltage. 100% Eff assumed</t>
  </si>
  <si>
    <t>ILArip_VINnom</t>
  </si>
  <si>
    <t xml:space="preserve">Inductor ripple current at VIN nom. </t>
  </si>
  <si>
    <t>ILAp_VINnom</t>
  </si>
  <si>
    <t>Peak inductor current at VIN nom. Including estimated efficiency</t>
  </si>
  <si>
    <t>ILB_avg_VIN_nom</t>
  </si>
  <si>
    <t>ILBrip_VIN_nom</t>
  </si>
  <si>
    <t>ILBp_VIN_nom</t>
  </si>
  <si>
    <t>ISW_peak_VIN_nom</t>
  </si>
  <si>
    <t>DCc_mode_VIN_max</t>
  </si>
  <si>
    <t>Dc_VIN_max</t>
  </si>
  <si>
    <t>Duty cycle at the maximum input voltage (CCM) (First order/ ideal equation)</t>
  </si>
  <si>
    <t>ILA_avg_VIN_max</t>
  </si>
  <si>
    <t>Average input current at maximum input voltage. 100% Eff assumed</t>
  </si>
  <si>
    <t>ILArip_VINmax</t>
  </si>
  <si>
    <t xml:space="preserve">Inductor ripple current at VIN max. </t>
  </si>
  <si>
    <t>ILAp_VINmax</t>
  </si>
  <si>
    <t>Peak inductor current at VIN max. Including estimated efficiency</t>
  </si>
  <si>
    <t>ILB_avg_VIN_max</t>
  </si>
  <si>
    <t>ILBrip_VIN_max</t>
  </si>
  <si>
    <t>ILBp_VIN_max</t>
  </si>
  <si>
    <t>ISW_peak_VIN_max</t>
  </si>
  <si>
    <t>Step 3: Current Sense Resistor</t>
  </si>
  <si>
    <t>Ipk_margin</t>
  </si>
  <si>
    <t>Peak current limit margin. 20% is a typical value</t>
  </si>
  <si>
    <t>Ipk_selected</t>
  </si>
  <si>
    <t>Selected peak current limit based on margin selection</t>
  </si>
  <si>
    <t>Rcs_sl_ratio</t>
  </si>
  <si>
    <t>ratio of down slope to slope compensation. This can be updated to give more margin</t>
  </si>
  <si>
    <t>Rcs_max</t>
  </si>
  <si>
    <t>Maximum Rcs based on internal slope compensation. Assuming slope ratio of 1/2</t>
  </si>
  <si>
    <t>Rcs_wo_sl</t>
  </si>
  <si>
    <t>Current sense resistor without slope compensation</t>
  </si>
  <si>
    <t>Rcs_ext_sl_ratio</t>
  </si>
  <si>
    <t>External Slope compensation ratio. Constant to provide a dead beat response</t>
  </si>
  <si>
    <t>Rcs_w_sl</t>
  </si>
  <si>
    <t>Calculated current sense resistor with slope compensation included</t>
  </si>
  <si>
    <t>R_sl_ext</t>
  </si>
  <si>
    <t>Calculated external slope compensation resistor</t>
  </si>
  <si>
    <t>Flag_ext_sl</t>
  </si>
  <si>
    <t>External Compensation? (0-no, 1-yes), Only accurate for CCM as DCM doesn't need slope compensation</t>
  </si>
  <si>
    <t>R_cs_calc</t>
  </si>
  <si>
    <t>Current Sense Resistor calculated, id DCM this is going to be the value calculated without slope compensation</t>
  </si>
  <si>
    <t>R_sl_calc</t>
  </si>
  <si>
    <t>External slope compensation resistor, if DCM operation the external slope compensation is not needed. Should b 0 Ohm</t>
  </si>
  <si>
    <t>R_cs</t>
  </si>
  <si>
    <t>Selected current sense Resistor</t>
  </si>
  <si>
    <t>R_sl</t>
  </si>
  <si>
    <t>Selected external slope compensation</t>
  </si>
  <si>
    <t>sl_vin_min</t>
  </si>
  <si>
    <t>V/V</t>
  </si>
  <si>
    <t>Check to make sure that slope compensation is high enough at the minimum input voltage</t>
  </si>
  <si>
    <t>IL_pk</t>
  </si>
  <si>
    <t>Peak current limit at the minimum input voltage</t>
  </si>
  <si>
    <t>IL_pk_max</t>
  </si>
  <si>
    <t>Peak inductor current limit for saturation rating.  VIN max due to the possibility of external slope comp</t>
  </si>
  <si>
    <t>sat_mar</t>
  </si>
  <si>
    <t>Margin for saturation current of the inductor</t>
  </si>
  <si>
    <t>IL_sat</t>
  </si>
  <si>
    <t>Recommended Saturation current rating of the selected inductor</t>
  </si>
  <si>
    <t>COMP voltage Limit checks</t>
  </si>
  <si>
    <t>Step 4: AC capacitor selection</t>
  </si>
  <si>
    <t>VCrr</t>
  </si>
  <si>
    <t>Cac_min</t>
  </si>
  <si>
    <t>F</t>
  </si>
  <si>
    <t>Calculated for CCM operation assuming coupled inductors</t>
  </si>
  <si>
    <t>Cac</t>
  </si>
  <si>
    <t>Selected  AC capacitor value for the user</t>
  </si>
  <si>
    <t>V_Cac</t>
  </si>
  <si>
    <t>Max ripple voltage of the capacitor (at VIN min)</t>
  </si>
  <si>
    <t>IRMS_Cac</t>
  </si>
  <si>
    <t>RMS ripple current of the AC capacitor. Calculated at the minimum input votlage</t>
  </si>
  <si>
    <t>*Note this changed for the Version 1 forward. The output capcitance is based on the load transient specification. Similar to the fylback converter</t>
  </si>
  <si>
    <t>fcross_estimate</t>
  </si>
  <si>
    <t>RAD</t>
  </si>
  <si>
    <r>
      <rPr>
        <sz val="11"/>
        <color theme="1"/>
        <rFont val="Calibri"/>
        <charset val="134"/>
        <scheme val="minor"/>
      </rPr>
      <t>Estimate to be 1.5 the RHP zero frequency *</t>
    </r>
    <r>
      <rPr>
        <b/>
        <sz val="11"/>
        <color theme="1"/>
        <rFont val="Calibri"/>
        <charset val="134"/>
        <scheme val="minor"/>
      </rPr>
      <t>Will need to updated for DCM operation</t>
    </r>
  </si>
  <si>
    <t>Vout_rip_sel</t>
  </si>
  <si>
    <t>Desired output ripple</t>
  </si>
  <si>
    <t>Itrans</t>
  </si>
  <si>
    <t>Cout_min</t>
  </si>
  <si>
    <t>Calculate minimum capacitance based simply on the capacitive ripple</t>
  </si>
  <si>
    <t>IRMS_COUT</t>
  </si>
  <si>
    <r>
      <rPr>
        <sz val="11"/>
        <color theme="1"/>
        <rFont val="Calibri"/>
        <charset val="134"/>
        <scheme val="minor"/>
      </rPr>
      <t xml:space="preserve">RMS current of the output capacitor at VIN min IOUT max. RMS current rating should be larger than this. </t>
    </r>
    <r>
      <rPr>
        <b/>
        <sz val="11"/>
        <color theme="1"/>
        <rFont val="Calibri"/>
        <charset val="134"/>
        <scheme val="minor"/>
      </rPr>
      <t>Need to update for DCM and uncoupled inductors</t>
    </r>
  </si>
  <si>
    <t>Cout</t>
  </si>
  <si>
    <t>Selected Output Capacitance</t>
  </si>
  <si>
    <t>Resr</t>
  </si>
  <si>
    <r>
      <rPr>
        <sz val="11"/>
        <color theme="1"/>
        <rFont val="Calibri"/>
        <charset val="134"/>
        <scheme val="minor"/>
      </rPr>
      <t xml:space="preserve">Selected output capacitance ESR. </t>
    </r>
    <r>
      <rPr>
        <b/>
        <sz val="11"/>
        <color theme="1"/>
        <rFont val="Calibri"/>
        <charset val="134"/>
        <scheme val="minor"/>
      </rPr>
      <t>*Need to add a requirement here for the maximum value</t>
    </r>
  </si>
  <si>
    <t>Step 6: Soft-start Capacitor selection</t>
  </si>
  <si>
    <t>SS time</t>
  </si>
  <si>
    <t>ms</t>
  </si>
  <si>
    <t>Softstart time for LM34x8</t>
  </si>
  <si>
    <t>Step 7: UVLO Resistor Selection</t>
  </si>
  <si>
    <t>No UVLO pin</t>
  </si>
  <si>
    <t>Step 8: Loop Compensation</t>
  </si>
  <si>
    <t>VIN_var</t>
  </si>
  <si>
    <r>
      <rPr>
        <sz val="11"/>
        <color theme="1"/>
        <rFont val="Calibri"/>
        <charset val="134"/>
        <scheme val="minor"/>
      </rPr>
      <t xml:space="preserve">Variable input voltage to model the loop. </t>
    </r>
    <r>
      <rPr>
        <b/>
        <sz val="11"/>
        <color theme="1"/>
        <rFont val="Calibri"/>
        <charset val="134"/>
        <scheme val="minor"/>
      </rPr>
      <t>Currently not used. Will be updated in next rev</t>
    </r>
  </si>
  <si>
    <t>Feedback resistor selection</t>
  </si>
  <si>
    <t>RFBT</t>
  </si>
  <si>
    <t>Selected by user. Feedback resistor should be &gt;100uA to help reject noise</t>
  </si>
  <si>
    <t>RFBB_CALC</t>
  </si>
  <si>
    <t>Estimated bottom feedback resistor</t>
  </si>
  <si>
    <t>RFBB</t>
  </si>
  <si>
    <t>Selected botton feedback resistor</t>
  </si>
  <si>
    <t>Ifb</t>
  </si>
  <si>
    <t>Current Drawn from the feedback resistors (Typically higher than 100uA to help w/ noise)</t>
  </si>
  <si>
    <t>Crossover Frequency Selection</t>
  </si>
  <si>
    <t>This is based on the minimum input voltage. T</t>
  </si>
  <si>
    <t>CCM Calculations</t>
  </si>
  <si>
    <t>ADC_VINmin</t>
  </si>
  <si>
    <t>wp_lf_VINmin</t>
  </si>
  <si>
    <t>rad</t>
  </si>
  <si>
    <t>Low frequency pole based on the minimum input voltage</t>
  </si>
  <si>
    <t>fp_lf_VINmin</t>
  </si>
  <si>
    <r>
      <rPr>
        <sz val="11"/>
        <color theme="1"/>
        <rFont val="Calibri"/>
        <charset val="134"/>
        <scheme val="minor"/>
      </rPr>
      <t xml:space="preserve">Plant low frequency pole. </t>
    </r>
    <r>
      <rPr>
        <b/>
        <sz val="11"/>
        <color theme="1"/>
        <rFont val="Calibri"/>
        <charset val="134"/>
        <scheme val="minor"/>
      </rPr>
      <t>IN Hz!!!</t>
    </r>
  </si>
  <si>
    <t>wz_esr_VINmin</t>
  </si>
  <si>
    <t>raf</t>
  </si>
  <si>
    <t>ESR zero based on the minimum input voltage</t>
  </si>
  <si>
    <t>fz_esr_VINmin</t>
  </si>
  <si>
    <r>
      <rPr>
        <sz val="11"/>
        <color theme="1"/>
        <rFont val="Calibri"/>
        <charset val="134"/>
        <scheme val="minor"/>
      </rPr>
      <t xml:space="preserve">Plant capacitor ESR zero </t>
    </r>
    <r>
      <rPr>
        <b/>
        <sz val="11"/>
        <color theme="1"/>
        <rFont val="Calibri"/>
        <charset val="134"/>
        <scheme val="minor"/>
      </rPr>
      <t>(In Hz)</t>
    </r>
  </si>
  <si>
    <t>wz_RHP_VINmin</t>
  </si>
  <si>
    <t>RHP_zero location based on the minimum input voltage</t>
  </si>
  <si>
    <t>fz_rhp_VINmin</t>
  </si>
  <si>
    <r>
      <rPr>
        <sz val="11"/>
        <color theme="1"/>
        <rFont val="Calibri"/>
        <charset val="134"/>
        <scheme val="minor"/>
      </rPr>
      <t xml:space="preserve">Plant RHP Zero, </t>
    </r>
    <r>
      <rPr>
        <b/>
        <sz val="11"/>
        <color theme="1"/>
        <rFont val="Calibri"/>
        <charset val="134"/>
        <scheme val="minor"/>
      </rPr>
      <t>(IN Hz)</t>
    </r>
  </si>
  <si>
    <t>1/10 the swictching frequency</t>
  </si>
  <si>
    <r>
      <rPr>
        <sz val="11"/>
        <color theme="1"/>
        <rFont val="Calibri"/>
        <charset val="134"/>
        <scheme val="minor"/>
      </rPr>
      <t xml:space="preserve">Select the lower crossover frequency </t>
    </r>
    <r>
      <rPr>
        <b/>
        <sz val="11"/>
        <color theme="1"/>
        <rFont val="Calibri"/>
        <charset val="134"/>
        <scheme val="minor"/>
      </rPr>
      <t>(typically going to set to 1/5th the RHP zero)</t>
    </r>
  </si>
  <si>
    <t>Se_VINmin</t>
  </si>
  <si>
    <t xml:space="preserve">Slope compensation </t>
  </si>
  <si>
    <t>Sn_VINmin</t>
  </si>
  <si>
    <t>Down slope at the selected input voltage</t>
  </si>
  <si>
    <t>wsl_VINmin</t>
  </si>
  <si>
    <t>Rad</t>
  </si>
  <si>
    <t>Q_VINmin</t>
  </si>
  <si>
    <t>fcross_CCM</t>
  </si>
  <si>
    <r>
      <rPr>
        <sz val="11"/>
        <color theme="1"/>
        <rFont val="Calibri"/>
        <charset val="134"/>
        <scheme val="minor"/>
      </rPr>
      <t xml:space="preserve">Conservative. Set Fcross to be 1/6th the RHP zero frequency or 1/10th SW: whichever is lower. </t>
    </r>
    <r>
      <rPr>
        <b/>
        <sz val="11"/>
        <color theme="1"/>
        <rFont val="Calibri"/>
        <charset val="134"/>
        <scheme val="minor"/>
      </rPr>
      <t>Note this is just for CCM operation</t>
    </r>
  </si>
  <si>
    <t>fz_ea_est</t>
  </si>
  <si>
    <t>This sets the error amp zero at the geometric mean between the load pole and the crossover frequency</t>
  </si>
  <si>
    <t>fp_ea_est</t>
  </si>
  <si>
    <t>This should be set at or near the lowest RHP zero Frequency</t>
  </si>
  <si>
    <t>fcross</t>
  </si>
  <si>
    <t>Set between 1/2 fsw and the RHPz in the application note. This is aggressive</t>
  </si>
  <si>
    <t>Rcomp_Calc_CCM</t>
  </si>
  <si>
    <t>Calculate on based on the desired Mid-band gain needed to set the crossover frequency</t>
  </si>
  <si>
    <t>CCOMP_calc_CCM</t>
  </si>
  <si>
    <t>Calcualted based on the desired Zero frequency. Set at the geometric mean between the crossover frequency and the load pole</t>
  </si>
  <si>
    <t>CHF_Calc_CCM</t>
  </si>
  <si>
    <t>Calcualted based on the RHP zero frequency</t>
  </si>
  <si>
    <t>DCM Selections</t>
  </si>
  <si>
    <t>*DCM operation is not modeled is disabled on the loop compensation. Needs to be modeled for a SEPIC</t>
  </si>
  <si>
    <t>Fm_DCM</t>
  </si>
  <si>
    <t>Modulator gain of the PWM comparator</t>
  </si>
  <si>
    <t>ADC_VIN_min_DCM</t>
  </si>
  <si>
    <t>wp_dcm</t>
  </si>
  <si>
    <t>wz1_dcm</t>
  </si>
  <si>
    <t>wz2_dcm</t>
  </si>
  <si>
    <t>RHP zero location</t>
  </si>
  <si>
    <t>fcross_DCM</t>
  </si>
  <si>
    <r>
      <rPr>
        <sz val="11"/>
        <color theme="1"/>
        <rFont val="Calibri"/>
        <charset val="134"/>
        <scheme val="minor"/>
      </rPr>
      <t>Crossover frequnecy of the</t>
    </r>
    <r>
      <rPr>
        <b/>
        <sz val="11"/>
        <color theme="1"/>
        <rFont val="Calibri"/>
        <charset val="134"/>
        <scheme val="minor"/>
      </rPr>
      <t xml:space="preserve"> DCM control loop</t>
    </r>
    <r>
      <rPr>
        <sz val="11"/>
        <color theme="1"/>
        <rFont val="Calibri"/>
        <charset val="134"/>
        <scheme val="minor"/>
      </rPr>
      <t>. (1/5th the RHPzero frequency), suggested</t>
    </r>
  </si>
  <si>
    <t>Gain of the plant at the crossover frequency</t>
  </si>
  <si>
    <t>Selected cross over frequency by the user.</t>
  </si>
  <si>
    <t>Rcomp_Calc_DCM</t>
  </si>
  <si>
    <t>Ohm</t>
  </si>
  <si>
    <t>CCOMP_Calc_DCM</t>
  </si>
  <si>
    <t>CHF_Calc_DCM</t>
  </si>
  <si>
    <t>General Loop Selections</t>
  </si>
  <si>
    <t>This is the output to the user based on the mode of operation when VIN is the minimum</t>
  </si>
  <si>
    <t>Desired Crossover frequency</t>
  </si>
  <si>
    <t>Rcomp_Calc</t>
  </si>
  <si>
    <t>RCOMP</t>
  </si>
  <si>
    <t>Type II compensation Resistort</t>
  </si>
  <si>
    <t>CCOMP_calc</t>
  </si>
  <si>
    <t>CCOMP</t>
  </si>
  <si>
    <t>Type II compensation Capacitor</t>
  </si>
  <si>
    <t>CHF_calc</t>
  </si>
  <si>
    <t>CHF</t>
  </si>
  <si>
    <t>Type II high frequency capacitor</t>
  </si>
  <si>
    <t>Step 7: Component Selection</t>
  </si>
  <si>
    <t>Id_AVG</t>
  </si>
  <si>
    <t xml:space="preserve">Suggested average current rating of diode. </t>
  </si>
  <si>
    <t>Vd_rect</t>
  </si>
  <si>
    <t>Rect Diode forward voltage drop</t>
  </si>
  <si>
    <t>Qrr</t>
  </si>
  <si>
    <t>C</t>
  </si>
  <si>
    <t>Shottky Reverse recovery charge</t>
  </si>
  <si>
    <t>MOSFET Parameters</t>
  </si>
  <si>
    <t>RDS_on</t>
  </si>
  <si>
    <t>Qg_tot</t>
  </si>
  <si>
    <t>Qgd</t>
  </si>
  <si>
    <t>Qgs</t>
  </si>
  <si>
    <t>Rgate</t>
  </si>
  <si>
    <t>Rgate_int</t>
  </si>
  <si>
    <t>Internal Gate resistance of the MOSFET driver.</t>
  </si>
  <si>
    <t>gfs</t>
  </si>
  <si>
    <t>Vth</t>
  </si>
  <si>
    <t>VCC</t>
  </si>
  <si>
    <t xml:space="preserve">VCC voltage. Can be changed with external bias. </t>
  </si>
  <si>
    <t>Vsp</t>
  </si>
  <si>
    <t>Gate voltage when MOSFET begins conducting current</t>
  </si>
  <si>
    <t>tr_sw</t>
  </si>
  <si>
    <t>Rise time of the switch node</t>
  </si>
  <si>
    <t>tf_sw</t>
  </si>
  <si>
    <t>Fall time of the switch node</t>
  </si>
  <si>
    <t>Check this value</t>
  </si>
  <si>
    <t>Coils are not included in the efficiency calculations</t>
  </si>
  <si>
    <t>Operation Variables</t>
  </si>
  <si>
    <t>Duty Cycle</t>
  </si>
  <si>
    <t>Inductor (Written of the switch on SEPIC)</t>
  </si>
  <si>
    <t>MOSFET</t>
  </si>
  <si>
    <t>Diode</t>
  </si>
  <si>
    <t>Other Losses</t>
  </si>
  <si>
    <t>Total Losses</t>
  </si>
  <si>
    <t>VIN</t>
  </si>
  <si>
    <t>IIN</t>
  </si>
  <si>
    <t>DCM/CCM</t>
  </si>
  <si>
    <t>DC</t>
  </si>
  <si>
    <t>DC_off</t>
  </si>
  <si>
    <t>dIL</t>
  </si>
  <si>
    <r>
      <rPr>
        <sz val="11"/>
        <color theme="1"/>
        <rFont val="Calibri"/>
        <charset val="134"/>
        <scheme val="minor"/>
      </rPr>
      <t>IL</t>
    </r>
    <r>
      <rPr>
        <vertAlign val="subscript"/>
        <sz val="11"/>
        <color theme="1"/>
        <rFont val="Calibri"/>
        <charset val="134"/>
        <scheme val="minor"/>
      </rPr>
      <t>PEAK</t>
    </r>
  </si>
  <si>
    <r>
      <rPr>
        <sz val="11"/>
        <color theme="1"/>
        <rFont val="Calibri"/>
        <charset val="134"/>
        <scheme val="minor"/>
      </rPr>
      <t>IL</t>
    </r>
    <r>
      <rPr>
        <vertAlign val="subscript"/>
        <sz val="11"/>
        <color theme="1"/>
        <rFont val="Calibri"/>
        <charset val="134"/>
        <scheme val="minor"/>
      </rPr>
      <t>RMS</t>
    </r>
  </si>
  <si>
    <r>
      <rPr>
        <sz val="11"/>
        <color theme="1"/>
        <rFont val="Calibri"/>
        <charset val="134"/>
        <scheme val="minor"/>
      </rPr>
      <t>P</t>
    </r>
    <r>
      <rPr>
        <vertAlign val="subscript"/>
        <sz val="11"/>
        <color theme="1"/>
        <rFont val="Calibri"/>
        <charset val="134"/>
        <scheme val="minor"/>
      </rPr>
      <t>Lac</t>
    </r>
    <r>
      <rPr>
        <sz val="11"/>
        <color theme="1"/>
        <rFont val="Calibri"/>
        <charset val="134"/>
        <scheme val="minor"/>
      </rPr>
      <t xml:space="preserve"> (W)</t>
    </r>
  </si>
  <si>
    <r>
      <rPr>
        <sz val="11"/>
        <color theme="1"/>
        <rFont val="Calibri"/>
        <charset val="134"/>
        <scheme val="minor"/>
      </rPr>
      <t>P</t>
    </r>
    <r>
      <rPr>
        <vertAlign val="subscript"/>
        <sz val="11"/>
        <color theme="1"/>
        <rFont val="Calibri"/>
        <charset val="134"/>
        <scheme val="minor"/>
      </rPr>
      <t>L_DCR</t>
    </r>
    <r>
      <rPr>
        <sz val="11"/>
        <color theme="1"/>
        <rFont val="Calibri"/>
        <charset val="134"/>
        <scheme val="minor"/>
      </rPr>
      <t xml:space="preserve"> (W)</t>
    </r>
  </si>
  <si>
    <r>
      <rPr>
        <sz val="11"/>
        <color theme="1"/>
        <rFont val="Calibri"/>
        <charset val="134"/>
        <scheme val="minor"/>
      </rPr>
      <t>P</t>
    </r>
    <r>
      <rPr>
        <vertAlign val="subscript"/>
        <sz val="11"/>
        <color theme="1"/>
        <rFont val="Calibri"/>
        <charset val="134"/>
        <scheme val="minor"/>
      </rPr>
      <t>L_tot</t>
    </r>
    <r>
      <rPr>
        <sz val="11"/>
        <color theme="1"/>
        <rFont val="Calibri"/>
        <charset val="134"/>
        <scheme val="minor"/>
      </rPr>
      <t xml:space="preserve"> (W)</t>
    </r>
  </si>
  <si>
    <r>
      <rPr>
        <sz val="11"/>
        <color theme="1"/>
        <rFont val="Calibri"/>
        <charset val="134"/>
        <scheme val="minor"/>
      </rPr>
      <t>ISW</t>
    </r>
    <r>
      <rPr>
        <vertAlign val="subscript"/>
        <sz val="11"/>
        <color theme="1"/>
        <rFont val="Calibri"/>
        <charset val="134"/>
        <scheme val="minor"/>
      </rPr>
      <t xml:space="preserve">AVG </t>
    </r>
    <r>
      <rPr>
        <sz val="11"/>
        <color theme="1"/>
        <rFont val="Calibri"/>
        <charset val="134"/>
        <scheme val="minor"/>
      </rPr>
      <t>(A)</t>
    </r>
  </si>
  <si>
    <r>
      <rPr>
        <sz val="11"/>
        <color theme="1"/>
        <rFont val="Calibri"/>
        <charset val="134"/>
        <scheme val="minor"/>
      </rPr>
      <t>ISW</t>
    </r>
    <r>
      <rPr>
        <vertAlign val="subscript"/>
        <sz val="11"/>
        <color theme="1"/>
        <rFont val="Calibri"/>
        <charset val="134"/>
        <scheme val="minor"/>
      </rPr>
      <t>RMS</t>
    </r>
  </si>
  <si>
    <r>
      <rPr>
        <sz val="11"/>
        <color theme="1"/>
        <rFont val="Calibri"/>
        <charset val="134"/>
        <scheme val="minor"/>
      </rPr>
      <t>P</t>
    </r>
    <r>
      <rPr>
        <vertAlign val="subscript"/>
        <sz val="11"/>
        <color theme="1"/>
        <rFont val="Calibri"/>
        <charset val="134"/>
        <scheme val="minor"/>
      </rPr>
      <t xml:space="preserve">Q_COND </t>
    </r>
    <r>
      <rPr>
        <sz val="11"/>
        <color theme="1"/>
        <rFont val="Calibri"/>
        <charset val="134"/>
        <scheme val="minor"/>
      </rPr>
      <t>(W)</t>
    </r>
  </si>
  <si>
    <r>
      <rPr>
        <sz val="11"/>
        <color theme="1"/>
        <rFont val="Calibri"/>
        <charset val="134"/>
        <scheme val="minor"/>
      </rPr>
      <t>P</t>
    </r>
    <r>
      <rPr>
        <vertAlign val="subscript"/>
        <sz val="11"/>
        <color theme="1"/>
        <rFont val="Calibri"/>
        <charset val="134"/>
        <scheme val="minor"/>
      </rPr>
      <t xml:space="preserve">Q_SW </t>
    </r>
    <r>
      <rPr>
        <sz val="11"/>
        <color theme="1"/>
        <rFont val="Calibri"/>
        <charset val="134"/>
        <scheme val="minor"/>
      </rPr>
      <t>(W)</t>
    </r>
  </si>
  <si>
    <r>
      <rPr>
        <sz val="11"/>
        <color theme="1"/>
        <rFont val="Calibri"/>
        <charset val="134"/>
        <scheme val="minor"/>
      </rPr>
      <t>P</t>
    </r>
    <r>
      <rPr>
        <vertAlign val="subscript"/>
        <sz val="11"/>
        <color theme="1"/>
        <rFont val="Calibri"/>
        <charset val="134"/>
        <scheme val="minor"/>
      </rPr>
      <t xml:space="preserve">Q_tot </t>
    </r>
    <r>
      <rPr>
        <sz val="11"/>
        <color theme="1"/>
        <rFont val="Calibri"/>
        <charset val="134"/>
        <scheme val="minor"/>
      </rPr>
      <t>(W)</t>
    </r>
  </si>
  <si>
    <r>
      <rPr>
        <sz val="11"/>
        <color theme="1"/>
        <rFont val="Calibri"/>
        <charset val="134"/>
        <scheme val="minor"/>
      </rPr>
      <t>ID</t>
    </r>
    <r>
      <rPr>
        <vertAlign val="subscript"/>
        <sz val="11"/>
        <color theme="1"/>
        <rFont val="Calibri"/>
        <charset val="134"/>
        <scheme val="minor"/>
      </rPr>
      <t xml:space="preserve">AVG </t>
    </r>
    <r>
      <rPr>
        <sz val="11"/>
        <color theme="1"/>
        <rFont val="Calibri"/>
        <charset val="134"/>
        <scheme val="minor"/>
      </rPr>
      <t>(A)</t>
    </r>
  </si>
  <si>
    <r>
      <rPr>
        <sz val="11"/>
        <color theme="1"/>
        <rFont val="Calibri"/>
        <charset val="134"/>
        <scheme val="minor"/>
      </rPr>
      <t>ID</t>
    </r>
    <r>
      <rPr>
        <vertAlign val="subscript"/>
        <sz val="11"/>
        <color theme="1"/>
        <rFont val="Calibri"/>
        <charset val="134"/>
        <scheme val="minor"/>
      </rPr>
      <t>RMS</t>
    </r>
  </si>
  <si>
    <r>
      <rPr>
        <sz val="11"/>
        <color theme="1"/>
        <rFont val="Calibri"/>
        <charset val="134"/>
        <scheme val="minor"/>
      </rPr>
      <t>P</t>
    </r>
    <r>
      <rPr>
        <vertAlign val="subscript"/>
        <sz val="11"/>
        <color theme="1"/>
        <rFont val="Calibri"/>
        <charset val="134"/>
        <scheme val="minor"/>
      </rPr>
      <t xml:space="preserve">D_COND </t>
    </r>
    <r>
      <rPr>
        <sz val="11"/>
        <color theme="1"/>
        <rFont val="Calibri"/>
        <charset val="134"/>
        <scheme val="minor"/>
      </rPr>
      <t>(W)</t>
    </r>
  </si>
  <si>
    <r>
      <rPr>
        <sz val="11"/>
        <color theme="1"/>
        <rFont val="Calibri"/>
        <charset val="134"/>
        <scheme val="minor"/>
      </rPr>
      <t>P</t>
    </r>
    <r>
      <rPr>
        <vertAlign val="subscript"/>
        <sz val="11"/>
        <color theme="1"/>
        <rFont val="Calibri"/>
        <charset val="134"/>
        <scheme val="minor"/>
      </rPr>
      <t xml:space="preserve">D_SW </t>
    </r>
    <r>
      <rPr>
        <sz val="11"/>
        <color theme="1"/>
        <rFont val="Calibri"/>
        <charset val="134"/>
        <scheme val="minor"/>
      </rPr>
      <t>(W)</t>
    </r>
  </si>
  <si>
    <r>
      <rPr>
        <sz val="11"/>
        <color theme="1"/>
        <rFont val="Calibri"/>
        <charset val="134"/>
        <scheme val="minor"/>
      </rPr>
      <t>P</t>
    </r>
    <r>
      <rPr>
        <vertAlign val="subscript"/>
        <sz val="11"/>
        <color theme="1"/>
        <rFont val="Calibri"/>
        <charset val="134"/>
        <scheme val="minor"/>
      </rPr>
      <t xml:space="preserve">D_tot </t>
    </r>
    <r>
      <rPr>
        <sz val="11"/>
        <color theme="1"/>
        <rFont val="Calibri"/>
        <charset val="134"/>
        <scheme val="minor"/>
      </rPr>
      <t>(W)</t>
    </r>
  </si>
  <si>
    <r>
      <rPr>
        <sz val="11"/>
        <color theme="1"/>
        <rFont val="Calibri"/>
        <charset val="134"/>
        <scheme val="minor"/>
      </rPr>
      <t>P</t>
    </r>
    <r>
      <rPr>
        <vertAlign val="subscript"/>
        <sz val="11"/>
        <color theme="1"/>
        <rFont val="Calibri"/>
        <charset val="134"/>
        <scheme val="minor"/>
      </rPr>
      <t>RCS</t>
    </r>
    <r>
      <rPr>
        <sz val="11"/>
        <color theme="1"/>
        <rFont val="Calibri"/>
        <charset val="134"/>
        <scheme val="minor"/>
      </rPr>
      <t xml:space="preserve"> (W)</t>
    </r>
  </si>
  <si>
    <r>
      <rPr>
        <sz val="11"/>
        <color theme="1"/>
        <rFont val="Calibri"/>
        <charset val="134"/>
        <scheme val="minor"/>
      </rPr>
      <t>P</t>
    </r>
    <r>
      <rPr>
        <vertAlign val="subscript"/>
        <sz val="11"/>
        <color theme="1"/>
        <rFont val="Calibri"/>
        <charset val="134"/>
        <scheme val="minor"/>
      </rPr>
      <t>G_drv</t>
    </r>
    <r>
      <rPr>
        <sz val="11"/>
        <color theme="1"/>
        <rFont val="Calibri"/>
        <charset val="134"/>
        <scheme val="minor"/>
      </rPr>
      <t xml:space="preserve"> (W)</t>
    </r>
  </si>
  <si>
    <r>
      <rPr>
        <sz val="11"/>
        <color theme="1"/>
        <rFont val="Calibri"/>
        <charset val="134"/>
        <scheme val="minor"/>
      </rPr>
      <t>P</t>
    </r>
    <r>
      <rPr>
        <vertAlign val="subscript"/>
        <sz val="11"/>
        <color theme="1"/>
        <rFont val="Calibri"/>
        <charset val="134"/>
        <scheme val="minor"/>
      </rPr>
      <t>IQ</t>
    </r>
    <r>
      <rPr>
        <sz val="11"/>
        <color theme="1"/>
        <rFont val="Calibri"/>
        <charset val="134"/>
        <scheme val="minor"/>
      </rPr>
      <t xml:space="preserve"> (W)</t>
    </r>
  </si>
  <si>
    <r>
      <rPr>
        <sz val="11"/>
        <color theme="1"/>
        <rFont val="Calibri"/>
        <charset val="134"/>
        <scheme val="minor"/>
      </rPr>
      <t>P</t>
    </r>
    <r>
      <rPr>
        <vertAlign val="subscript"/>
        <sz val="11"/>
        <color theme="1"/>
        <rFont val="Calibri"/>
        <charset val="134"/>
        <scheme val="minor"/>
      </rPr>
      <t>TOTAL</t>
    </r>
    <r>
      <rPr>
        <sz val="11"/>
        <color theme="1"/>
        <rFont val="Calibri"/>
        <charset val="134"/>
        <scheme val="minor"/>
      </rPr>
      <t xml:space="preserve"> (W)</t>
    </r>
  </si>
  <si>
    <r>
      <rPr>
        <sz val="11"/>
        <color theme="1"/>
        <rFont val="Calibri"/>
        <charset val="134"/>
        <scheme val="minor"/>
      </rPr>
      <t>P</t>
    </r>
    <r>
      <rPr>
        <vertAlign val="subscript"/>
        <sz val="11"/>
        <color theme="1"/>
        <rFont val="Calibri"/>
        <charset val="134"/>
        <scheme val="minor"/>
      </rPr>
      <t>OUT</t>
    </r>
    <r>
      <rPr>
        <sz val="11"/>
        <color theme="1"/>
        <rFont val="Calibri"/>
        <charset val="134"/>
        <scheme val="minor"/>
      </rPr>
      <t xml:space="preserve"> (W)</t>
    </r>
  </si>
  <si>
    <t>Eff</t>
  </si>
  <si>
    <t>VIN_VAR</t>
  </si>
  <si>
    <t>Steps</t>
  </si>
  <si>
    <t>Step size</t>
  </si>
  <si>
    <t>Calculations</t>
  </si>
  <si>
    <t>Needs to be updated for DCM operation</t>
  </si>
  <si>
    <t>Operating mode</t>
  </si>
  <si>
    <t>Plant Transfer Function</t>
  </si>
  <si>
    <t>Error Amplifier</t>
  </si>
  <si>
    <t>CCM Open Loop Response</t>
  </si>
  <si>
    <t>DCM Open Loop Response</t>
  </si>
  <si>
    <t>Displayed Loop Calclation</t>
  </si>
  <si>
    <t>wp_lf</t>
  </si>
  <si>
    <t>wz_esr</t>
  </si>
  <si>
    <t>Sampling</t>
  </si>
  <si>
    <t>Total</t>
  </si>
  <si>
    <t>wz_RHP</t>
  </si>
  <si>
    <t>wp0_ea</t>
  </si>
  <si>
    <t>wp1_ea</t>
  </si>
  <si>
    <t>wz_ea</t>
  </si>
  <si>
    <t>ADC</t>
  </si>
  <si>
    <t>Complex</t>
  </si>
  <si>
    <t>Gain</t>
  </si>
  <si>
    <t>Phase</t>
  </si>
  <si>
    <t>COMPLEX</t>
  </si>
  <si>
    <t xml:space="preserve">Gain </t>
  </si>
  <si>
    <t>ADC_ea</t>
  </si>
  <si>
    <t>Frcoss (VIN)min</t>
  </si>
  <si>
    <t>Fcross</t>
  </si>
  <si>
    <t>Input Parameters</t>
  </si>
  <si>
    <t>XOVER SEARCH</t>
  </si>
  <si>
    <t>xover</t>
  </si>
  <si>
    <t>phase margin</t>
  </si>
  <si>
    <t xml:space="preserve"> CCMPlant Parameters</t>
  </si>
  <si>
    <t>Selected VIN</t>
  </si>
  <si>
    <t>Variable input voltage</t>
  </si>
  <si>
    <t>CCM Plant Transfer Function</t>
  </si>
  <si>
    <t>DCM Plant Transfer Function</t>
  </si>
  <si>
    <t>IOUT_VAR</t>
  </si>
  <si>
    <t>Variable output current (Can add this a different revision, not needed right now)</t>
  </si>
  <si>
    <t>DC_VIN_Var</t>
  </si>
  <si>
    <t>Frequency</t>
  </si>
  <si>
    <t>Gain(dB)</t>
  </si>
  <si>
    <t>Phase (deg)</t>
  </si>
  <si>
    <t>Gain Cross</t>
  </si>
  <si>
    <t>Phase Cross</t>
  </si>
  <si>
    <t>Output Voltage</t>
  </si>
  <si>
    <t>Component Selection</t>
  </si>
  <si>
    <t>LM</t>
  </si>
  <si>
    <t>filter Inductor</t>
  </si>
  <si>
    <t>Current sense resi</t>
  </si>
  <si>
    <t>External Slope Compensation Resistor</t>
  </si>
  <si>
    <t>Rsl_int</t>
  </si>
  <si>
    <t>Interanl Slope Compesnation Resistor</t>
  </si>
  <si>
    <t>Isl</t>
  </si>
  <si>
    <t>Interanl Slope Compesnation current</t>
  </si>
  <si>
    <t>Gcomp</t>
  </si>
  <si>
    <t>Scale down factor of the interal comp voltage divider</t>
  </si>
  <si>
    <r>
      <rPr>
        <sz val="11"/>
        <color theme="1"/>
        <rFont val="Calibri"/>
        <charset val="134"/>
        <scheme val="minor"/>
      </rPr>
      <t xml:space="preserve">0 - DCM operation, 1- CCM opertaion. </t>
    </r>
    <r>
      <rPr>
        <b/>
        <sz val="11"/>
        <color theme="1"/>
        <rFont val="Calibri"/>
        <charset val="134"/>
        <scheme val="minor"/>
      </rPr>
      <t>Always set to CCM right now</t>
    </r>
  </si>
  <si>
    <t>CCM Plan Parameters</t>
  </si>
  <si>
    <t>DC gain of the plant function</t>
  </si>
  <si>
    <t>Low Frequency Pole</t>
  </si>
  <si>
    <t>dB</t>
  </si>
  <si>
    <t>Gain of open loop at wp_Lf</t>
  </si>
  <si>
    <t>wz_rhp</t>
  </si>
  <si>
    <t>RHPz zero of boost converter</t>
  </si>
  <si>
    <t>ESR zero cause by output capacitance</t>
  </si>
  <si>
    <t>Se</t>
  </si>
  <si>
    <t>Sn</t>
  </si>
  <si>
    <t>wsl</t>
  </si>
  <si>
    <t>Q</t>
  </si>
  <si>
    <t>Compensation Components</t>
  </si>
  <si>
    <t>Top feedback resistor</t>
  </si>
  <si>
    <t>Bottom feedback resistor</t>
  </si>
  <si>
    <t>Adc_ea</t>
  </si>
  <si>
    <t>Error Amplifier Zero</t>
  </si>
  <si>
    <t>Error Amplifier pole at the origin</t>
  </si>
  <si>
    <t>Error Amplifier pole at high frequencies</t>
  </si>
  <si>
    <t xml:space="preserve"> DCMPlant Parameters</t>
  </si>
  <si>
    <t>DC_VIN_var_DCM</t>
  </si>
  <si>
    <t>Duty cycle of the converter in DCM</t>
  </si>
  <si>
    <t>"Note this include the COMP to PWM gain term (.145V/V)</t>
  </si>
  <si>
    <t>wp_lf_DCM</t>
  </si>
  <si>
    <t>EXCEL Constants / Values / IC Limits</t>
  </si>
  <si>
    <t>Excel Calculator based on LM5155 basis</t>
  </si>
  <si>
    <t xml:space="preserve">IC Duty Cycle Limitation: </t>
  </si>
  <si>
    <t>D_2p2_min</t>
  </si>
  <si>
    <t>Minimum max duty cycle at 2p2MHZ operation</t>
  </si>
  <si>
    <t>t_off_max</t>
  </si>
  <si>
    <t>Maximum forced off time</t>
  </si>
  <si>
    <t>D_2p2_nom</t>
  </si>
  <si>
    <t>T_off_nom</t>
  </si>
  <si>
    <t>nominal forced off time</t>
  </si>
  <si>
    <t>D_2p2_max</t>
  </si>
  <si>
    <t>T_off_min</t>
  </si>
  <si>
    <t>Minimum forced off time</t>
  </si>
  <si>
    <t>D_limit_min</t>
  </si>
  <si>
    <t>Min max duty cycle at low frequency</t>
  </si>
  <si>
    <t>D_limit_nom</t>
  </si>
  <si>
    <t>Nomminal max duty cycle at low frequency</t>
  </si>
  <si>
    <t>D_limit_max</t>
  </si>
  <si>
    <t>Maximum max duty cycle at low frequency</t>
  </si>
  <si>
    <t>Forced off time limit? [2 True, 1 False].</t>
  </si>
  <si>
    <t>Dc_Limit</t>
  </si>
  <si>
    <t>Max duty cycle of LM5155 at Fsw</t>
  </si>
  <si>
    <t>ton_min</t>
  </si>
  <si>
    <t>Typical Ton minimum value</t>
  </si>
  <si>
    <t>Slope Compensation</t>
  </si>
  <si>
    <t>Fsw:</t>
  </si>
  <si>
    <t>Internal slope compensation ramp</t>
  </si>
  <si>
    <t>Internal Slope compensation resistor</t>
  </si>
  <si>
    <t>Vcl</t>
  </si>
  <si>
    <t>Current Limit Value. See datsheet for Parameters</t>
  </si>
  <si>
    <t>Rsl_max</t>
  </si>
  <si>
    <t>Intenal step down of the divider</t>
  </si>
  <si>
    <t>Acs</t>
  </si>
  <si>
    <t>Current sense Amplifier Gain (1 for this device)</t>
  </si>
  <si>
    <t>Vref</t>
  </si>
  <si>
    <t>Reference voltage</t>
  </si>
  <si>
    <t>gm_ea</t>
  </si>
  <si>
    <t>A/V</t>
  </si>
  <si>
    <t>Error Amplifier Gain</t>
  </si>
  <si>
    <t>Soft-Start</t>
  </si>
  <si>
    <t>internally fixed</t>
  </si>
  <si>
    <t>UVLO Thresholds</t>
  </si>
  <si>
    <t>UV_rise</t>
  </si>
  <si>
    <t>NO UVLO PIN</t>
  </si>
  <si>
    <t>UV_fall</t>
  </si>
  <si>
    <t>UV_I_hyst</t>
  </si>
  <si>
    <t>VCC regulator</t>
  </si>
  <si>
    <t>Vcc</t>
  </si>
  <si>
    <t>Regulated output voltage of internal LDO. Can change if this is externally biased.</t>
  </si>
  <si>
    <t>IQ current</t>
  </si>
  <si>
    <t xml:space="preserve">IQ </t>
  </si>
  <si>
    <t>Non-switching IQ current</t>
  </si>
  <si>
    <t>200uA for redbull</t>
  </si>
  <si>
    <t>Operation Raange</t>
  </si>
  <si>
    <t>Vin_op_min</t>
  </si>
  <si>
    <t>Minimum operating voltage</t>
  </si>
  <si>
    <t>Vin_op_max</t>
  </si>
  <si>
    <t>Maximum BIAS pin operating voltage</t>
  </si>
  <si>
    <t>VIN_op_max_56</t>
  </si>
  <si>
    <t>Abs max BIAS</t>
  </si>
  <si>
    <t>Input Voltage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</si>
</sst>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26" formatCode="General"/>
    <numFmt numFmtId="176" formatCode="_-* #,##0.00_-;\-* #,##0.00_-;_-* &quot;-&quot;??_-;_-@_-"/>
    <numFmt numFmtId="177" formatCode="_-* #,##0.00\ &quot;zł&quot;_-;\-* #,##0.00\ &quot;zł&quot;_-;_-* &quot;-&quot;??\ &quot;zł&quot;_-;_-@_-"/>
    <numFmt numFmtId="178" formatCode="_-* #,##0_-;\-* #,##0_-;_-* &quot;-&quot;_-;_-@_-"/>
    <numFmt numFmtId="179" formatCode="_-* #,##0\ &quot;zł&quot;_-;\-* #,##0\ &quot;zł&quot;_-;_-* &quot;-&quot;\ &quot;zł&quot;_-;_-@_-"/>
    <numFmt numFmtId="180" formatCode="_(* #,##0.00_);_(* \(#,##0.00\);_(* &quot;-&quot;??_);_(@_)"/>
    <numFmt numFmtId="181" formatCode="0.000E+00"/>
    <numFmt numFmtId="182" formatCode="0.000"/>
    <numFmt numFmtId="183" formatCode="0.00000"/>
    <numFmt numFmtId="184" formatCode="0.0000E+00"/>
    <numFmt numFmtId="185" formatCode="0.0000"/>
    <numFmt numFmtId="186" formatCode="0.0"/>
    <numFmt numFmtId="187" formatCode="0.000000E+00"/>
  </numFmts>
  <fonts count="65">
    <font>
      <sz val="11"/>
      <color theme="1"/>
      <name val="Calibri"/>
      <charset val="134"/>
      <scheme val="minor"/>
    </font>
    <font>
      <b/>
      <sz val="22"/>
      <color indexed="44"/>
      <name val="Arial"/>
      <charset val="134"/>
    </font>
    <font>
      <b/>
      <sz val="10"/>
      <name val="Arial"/>
      <charset val="134"/>
    </font>
    <font>
      <sz val="10"/>
      <name val="Arial"/>
      <charset val="134"/>
    </font>
    <font>
      <b/>
      <sz val="12"/>
      <color theme="1"/>
      <name val="Calibri"/>
      <charset val="134"/>
      <scheme val="minor"/>
    </font>
    <font>
      <sz val="11"/>
      <color theme="1"/>
      <name val="Calibri"/>
      <charset val="134"/>
    </font>
    <font>
      <b/>
      <sz val="11"/>
      <color theme="1"/>
      <name val="Calibri"/>
      <charset val="134"/>
      <scheme val="minor"/>
    </font>
    <font>
      <b/>
      <sz val="10"/>
      <color rgb="FF00B0F0"/>
      <name val="Arial"/>
      <charset val="134"/>
    </font>
    <font>
      <b/>
      <sz val="11"/>
      <color rgb="FF00B0F0"/>
      <name val="Calibri"/>
      <charset val="134"/>
      <scheme val="minor"/>
    </font>
    <font>
      <b/>
      <sz val="12"/>
      <color rgb="FF00B0F0"/>
      <name val="Calibri"/>
      <charset val="134"/>
      <scheme val="minor"/>
    </font>
    <font>
      <b/>
      <sz val="12"/>
      <color rgb="FF0000FF"/>
      <name val="Arial"/>
      <charset val="134"/>
    </font>
    <font>
      <b/>
      <sz val="11"/>
      <color rgb="FF0070C0"/>
      <name val="Calibri"/>
      <charset val="134"/>
      <scheme val="minor"/>
    </font>
    <font>
      <sz val="11"/>
      <color rgb="FF0070C0"/>
      <name val="Calibri"/>
      <charset val="134"/>
      <scheme val="minor"/>
    </font>
    <font>
      <b/>
      <u/>
      <sz val="11"/>
      <color theme="1"/>
      <name val="Calibri"/>
      <charset val="134"/>
      <scheme val="minor"/>
    </font>
    <font>
      <sz val="11"/>
      <name val="Calibri"/>
      <charset val="134"/>
      <scheme val="minor"/>
    </font>
    <font>
      <u/>
      <sz val="11"/>
      <color theme="1"/>
      <name val="Calibri"/>
      <charset val="134"/>
      <scheme val="minor"/>
    </font>
    <font>
      <i/>
      <sz val="11"/>
      <color theme="1"/>
      <name val="Calibri"/>
      <charset val="134"/>
      <scheme val="minor"/>
    </font>
    <font>
      <b/>
      <sz val="11"/>
      <color theme="3" tint="0.399975585192419"/>
      <name val="Calibri"/>
      <charset val="134"/>
      <scheme val="minor"/>
    </font>
    <font>
      <sz val="10"/>
      <name val="Calibri"/>
      <charset val="134"/>
      <scheme val="minor"/>
    </font>
    <font>
      <sz val="11"/>
      <color theme="1"/>
      <name val="Arial"/>
      <charset val="134"/>
    </font>
    <font>
      <b/>
      <sz val="10"/>
      <color theme="1"/>
      <name val="Arial"/>
      <charset val="134"/>
    </font>
    <font>
      <sz val="10"/>
      <color theme="1"/>
      <name val="Arial"/>
      <charset val="134"/>
    </font>
    <font>
      <b/>
      <u/>
      <sz val="10"/>
      <color theme="10"/>
      <name val="Arial"/>
      <charset val="134"/>
    </font>
    <font>
      <b/>
      <sz val="10"/>
      <color theme="0"/>
      <name val="Arial"/>
      <charset val="134"/>
    </font>
    <font>
      <b/>
      <u/>
      <sz val="11"/>
      <color theme="10"/>
      <name val="Arial"/>
      <charset val="134"/>
    </font>
    <font>
      <sz val="28"/>
      <color theme="0"/>
      <name val="Calibri"/>
      <charset val="134"/>
      <scheme val="minor"/>
    </font>
    <font>
      <b/>
      <sz val="11"/>
      <color theme="0"/>
      <name val="Calibri"/>
      <charset val="134"/>
      <scheme val="minor"/>
    </font>
    <font>
      <u/>
      <sz val="11"/>
      <color rgb="FF800080"/>
      <name val="Calibri"/>
      <charset val="134"/>
      <scheme val="minor"/>
    </font>
    <font>
      <sz val="10"/>
      <color theme="1"/>
      <name val="Calibri"/>
      <charset val="134"/>
      <scheme val="minor"/>
    </font>
    <font>
      <sz val="11"/>
      <color rgb="FFFF0000"/>
      <name val="Calibri"/>
      <charset val="134"/>
      <scheme val="minor"/>
    </font>
    <font>
      <sz val="18"/>
      <color theme="0"/>
      <name val="Calibri"/>
      <charset val="134"/>
      <scheme val="minor"/>
    </font>
    <font>
      <b/>
      <sz val="11"/>
      <color theme="4"/>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11"/>
      <color theme="1"/>
      <name val="Calibri"/>
      <charset val="134"/>
      <scheme val="minor"/>
    </font>
    <font>
      <vertAlign val="subscript"/>
      <sz val="10"/>
      <color theme="1"/>
      <name val="Calibri"/>
      <charset val="134"/>
      <scheme val="minor"/>
    </font>
    <font>
      <vertAlign val="subscript"/>
      <sz val="10"/>
      <name val="Arial"/>
      <charset val="134"/>
    </font>
    <font>
      <vertAlign val="subscript"/>
      <sz val="11"/>
      <name val="Calibri"/>
      <charset val="134"/>
      <scheme val="minor"/>
    </font>
    <font>
      <vertAlign val="subscript"/>
      <sz val="11"/>
      <color theme="1"/>
      <name val="Calibri"/>
      <charset val="134"/>
    </font>
    <font>
      <b/>
      <vertAlign val="subscript"/>
      <sz val="11"/>
      <color rgb="FF0070C0"/>
      <name val="Calibri"/>
      <charset val="134"/>
      <scheme val="minor"/>
    </font>
    <font>
      <vertAlign val="subscript"/>
      <sz val="9"/>
      <name val="Tahoma"/>
      <charset val="134"/>
    </font>
    <font>
      <b/>
      <sz val="11"/>
      <color indexed="10"/>
      <name val="Tahoma"/>
      <charset val="134"/>
    </font>
    <font>
      <sz val="11"/>
      <name val="Tahoma"/>
      <charset val="134"/>
    </font>
    <font>
      <sz val="9"/>
      <name val="Tahoma"/>
      <charset val="134"/>
    </font>
    <font>
      <b/>
      <sz val="9"/>
      <color indexed="10"/>
      <name val="Tahoma"/>
      <charset val="134"/>
    </font>
    <font>
      <b/>
      <sz val="9"/>
      <name val="Tahoma"/>
      <charset val="134"/>
    </font>
    <font>
      <sz val="11"/>
      <color indexed="10"/>
      <name val="Calibri"/>
      <charset val="0"/>
      <scheme val="minor"/>
    </font>
    <font>
      <sz val="9"/>
      <color indexed="10"/>
      <name val="Tahoma"/>
      <charset val="134"/>
    </font>
  </fonts>
  <fills count="50">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52"/>
        <bgColor indexed="64"/>
      </patternFill>
    </fill>
    <fill>
      <patternFill patternType="solid">
        <fgColor indexed="50"/>
        <bgColor indexed="64"/>
      </patternFill>
    </fill>
    <fill>
      <patternFill patternType="solid">
        <fgColor rgb="FF92D050"/>
        <bgColor indexed="64"/>
      </patternFill>
    </fill>
    <fill>
      <patternFill patternType="solid">
        <fgColor rgb="FFFFC000"/>
        <bgColor indexed="64"/>
      </patternFill>
    </fill>
    <fill>
      <patternFill patternType="solid">
        <fgColor theme="0" tint="-0.249977111117893"/>
        <bgColor indexed="64"/>
      </patternFill>
    </fill>
    <fill>
      <patternFill patternType="solid">
        <fgColor indexed="44"/>
        <bgColor indexed="64"/>
      </patternFill>
    </fill>
    <fill>
      <patternFill patternType="solid">
        <fgColor theme="0" tint="-0.349986266670736"/>
        <bgColor indexed="64"/>
      </patternFill>
    </fill>
    <fill>
      <patternFill patternType="solid">
        <fgColor theme="5" tint="0.799981688894314"/>
        <bgColor indexed="64"/>
      </patternFill>
    </fill>
    <fill>
      <patternFill patternType="solid">
        <fgColor rgb="FFFFFF00"/>
        <bgColor indexed="64"/>
      </patternFill>
    </fill>
    <fill>
      <patternFill patternType="solid">
        <fgColor theme="0"/>
        <bgColor indexed="64"/>
      </patternFill>
    </fill>
    <fill>
      <patternFill patternType="solid">
        <fgColor rgb="FFDE0000"/>
        <bgColor indexed="64"/>
      </patternFill>
    </fill>
    <fill>
      <patternFill patternType="solid">
        <fgColor theme="1"/>
        <bgColor indexed="64"/>
      </patternFill>
    </fill>
    <fill>
      <patternFill patternType="solid">
        <fgColor theme="2" tint="-0.899990844447157"/>
        <bgColor indexed="64"/>
      </patternFill>
    </fill>
    <fill>
      <patternFill patternType="solid">
        <fgColor rgb="FFFF0000"/>
        <bgColor indexed="64"/>
      </patternFill>
    </fill>
    <fill>
      <patternFill patternType="solid">
        <fgColor theme="0" tint="-0.499984740745262"/>
        <bgColor indexed="64"/>
      </patternFill>
    </fill>
    <fill>
      <patternFill patternType="solid">
        <fgColor theme="1"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26"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26" fontId="32" fillId="0" borderId="0" applyNumberFormat="0" applyFill="0" applyBorder="0" applyAlignment="0" applyProtection="0"/>
    <xf numFmtId="26" fontId="33" fillId="0" borderId="0" applyNumberFormat="0" applyFill="0" applyBorder="0" applyAlignment="0" applyProtection="0">
      <alignment vertical="center"/>
    </xf>
    <xf numFmtId="26" fontId="0" fillId="20" borderId="27" applyNumberFormat="0" applyFont="0" applyAlignment="0" applyProtection="0">
      <alignment vertical="center"/>
    </xf>
    <xf numFmtId="26" fontId="34" fillId="0" borderId="0" applyNumberFormat="0" applyFill="0" applyBorder="0" applyAlignment="0" applyProtection="0">
      <alignment vertical="center"/>
    </xf>
    <xf numFmtId="26" fontId="35" fillId="0" borderId="0" applyNumberFormat="0" applyFill="0" applyBorder="0" applyAlignment="0" applyProtection="0">
      <alignment vertical="center"/>
    </xf>
    <xf numFmtId="26" fontId="36" fillId="0" borderId="0" applyNumberFormat="0" applyFill="0" applyBorder="0" applyAlignment="0" applyProtection="0">
      <alignment vertical="center"/>
    </xf>
    <xf numFmtId="26" fontId="37" fillId="0" borderId="28" applyNumberFormat="0" applyFill="0" applyAlignment="0" applyProtection="0">
      <alignment vertical="center"/>
    </xf>
    <xf numFmtId="26" fontId="38" fillId="0" borderId="28" applyNumberFormat="0" applyFill="0" applyAlignment="0" applyProtection="0">
      <alignment vertical="center"/>
    </xf>
    <xf numFmtId="26" fontId="39" fillId="0" borderId="29" applyNumberFormat="0" applyFill="0" applyAlignment="0" applyProtection="0">
      <alignment vertical="center"/>
    </xf>
    <xf numFmtId="26" fontId="39" fillId="0" borderId="0" applyNumberFormat="0" applyFill="0" applyBorder="0" applyAlignment="0" applyProtection="0">
      <alignment vertical="center"/>
    </xf>
    <xf numFmtId="26" fontId="40" fillId="21" borderId="30" applyNumberFormat="0" applyAlignment="0" applyProtection="0">
      <alignment vertical="center"/>
    </xf>
    <xf numFmtId="26" fontId="41" fillId="22" borderId="31" applyNumberFormat="0" applyAlignment="0" applyProtection="0">
      <alignment vertical="center"/>
    </xf>
    <xf numFmtId="26" fontId="42" fillId="22" borderId="30" applyNumberFormat="0" applyAlignment="0" applyProtection="0">
      <alignment vertical="center"/>
    </xf>
    <xf numFmtId="26" fontId="43" fillId="23" borderId="32" applyNumberFormat="0" applyAlignment="0" applyProtection="0">
      <alignment vertical="center"/>
    </xf>
    <xf numFmtId="26" fontId="44" fillId="0" borderId="33" applyNumberFormat="0" applyFill="0" applyAlignment="0" applyProtection="0">
      <alignment vertical="center"/>
    </xf>
    <xf numFmtId="26" fontId="45" fillId="0" borderId="34" applyNumberFormat="0" applyFill="0" applyAlignment="0" applyProtection="0">
      <alignment vertical="center"/>
    </xf>
    <xf numFmtId="26" fontId="46" fillId="24" borderId="0" applyNumberFormat="0" applyBorder="0" applyAlignment="0" applyProtection="0">
      <alignment vertical="center"/>
    </xf>
    <xf numFmtId="26" fontId="47" fillId="25" borderId="0" applyNumberFormat="0" applyBorder="0" applyAlignment="0" applyProtection="0">
      <alignment vertical="center"/>
    </xf>
    <xf numFmtId="26" fontId="48" fillId="26" borderId="0" applyNumberFormat="0" applyBorder="0" applyAlignment="0" applyProtection="0">
      <alignment vertical="center"/>
    </xf>
    <xf numFmtId="26" fontId="49" fillId="27" borderId="0" applyNumberFormat="0" applyBorder="0" applyAlignment="0" applyProtection="0">
      <alignment vertical="center"/>
    </xf>
    <xf numFmtId="26" fontId="50" fillId="28" borderId="0" applyNumberFormat="0" applyBorder="0" applyAlignment="0" applyProtection="0">
      <alignment vertical="center"/>
    </xf>
    <xf numFmtId="26" fontId="50" fillId="29" borderId="0" applyNumberFormat="0" applyBorder="0" applyAlignment="0" applyProtection="0">
      <alignment vertical="center"/>
    </xf>
    <xf numFmtId="26" fontId="49" fillId="30" borderId="0" applyNumberFormat="0" applyBorder="0" applyAlignment="0" applyProtection="0">
      <alignment vertical="center"/>
    </xf>
    <xf numFmtId="26" fontId="49" fillId="31" borderId="0" applyNumberFormat="0" applyBorder="0" applyAlignment="0" applyProtection="0">
      <alignment vertical="center"/>
    </xf>
    <xf numFmtId="26" fontId="50" fillId="11" borderId="0" applyNumberFormat="0" applyBorder="0" applyAlignment="0" applyProtection="0">
      <alignment vertical="center"/>
    </xf>
    <xf numFmtId="26" fontId="50" fillId="32" borderId="0" applyNumberFormat="0" applyBorder="0" applyAlignment="0" applyProtection="0">
      <alignment vertical="center"/>
    </xf>
    <xf numFmtId="26" fontId="49" fillId="33" borderId="0" applyNumberFormat="0" applyBorder="0" applyAlignment="0" applyProtection="0">
      <alignment vertical="center"/>
    </xf>
    <xf numFmtId="26" fontId="49" fillId="34" borderId="0" applyNumberFormat="0" applyBorder="0" applyAlignment="0" applyProtection="0">
      <alignment vertical="center"/>
    </xf>
    <xf numFmtId="26" fontId="50" fillId="35" borderId="0" applyNumberFormat="0" applyBorder="0" applyAlignment="0" applyProtection="0">
      <alignment vertical="center"/>
    </xf>
    <xf numFmtId="26" fontId="50" fillId="36" borderId="0" applyNumberFormat="0" applyBorder="0" applyAlignment="0" applyProtection="0">
      <alignment vertical="center"/>
    </xf>
    <xf numFmtId="26" fontId="49" fillId="37" borderId="0" applyNumberFormat="0" applyBorder="0" applyAlignment="0" applyProtection="0">
      <alignment vertical="center"/>
    </xf>
    <xf numFmtId="26" fontId="49" fillId="38" borderId="0" applyNumberFormat="0" applyBorder="0" applyAlignment="0" applyProtection="0">
      <alignment vertical="center"/>
    </xf>
    <xf numFmtId="26" fontId="50" fillId="39" borderId="0" applyNumberFormat="0" applyBorder="0" applyAlignment="0" applyProtection="0">
      <alignment vertical="center"/>
    </xf>
    <xf numFmtId="26" fontId="50" fillId="40" borderId="0" applyNumberFormat="0" applyBorder="0" applyAlignment="0" applyProtection="0">
      <alignment vertical="center"/>
    </xf>
    <xf numFmtId="26" fontId="49" fillId="41" borderId="0" applyNumberFormat="0" applyBorder="0" applyAlignment="0" applyProtection="0">
      <alignment vertical="center"/>
    </xf>
    <xf numFmtId="26" fontId="49" fillId="42" borderId="0" applyNumberFormat="0" applyBorder="0" applyAlignment="0" applyProtection="0">
      <alignment vertical="center"/>
    </xf>
    <xf numFmtId="26" fontId="50" fillId="43" borderId="0" applyNumberFormat="0" applyBorder="0" applyAlignment="0" applyProtection="0">
      <alignment vertical="center"/>
    </xf>
    <xf numFmtId="26" fontId="50" fillId="44" borderId="0" applyNumberFormat="0" applyBorder="0" applyAlignment="0" applyProtection="0">
      <alignment vertical="center"/>
    </xf>
    <xf numFmtId="26" fontId="49" fillId="45" borderId="0" applyNumberFormat="0" applyBorder="0" applyAlignment="0" applyProtection="0">
      <alignment vertical="center"/>
    </xf>
    <xf numFmtId="26" fontId="49" fillId="46" borderId="0" applyNumberFormat="0" applyBorder="0" applyAlignment="0" applyProtection="0">
      <alignment vertical="center"/>
    </xf>
    <xf numFmtId="26" fontId="50" fillId="47" borderId="0" applyNumberFormat="0" applyBorder="0" applyAlignment="0" applyProtection="0">
      <alignment vertical="center"/>
    </xf>
    <xf numFmtId="26" fontId="50" fillId="48" borderId="0" applyNumberFormat="0" applyBorder="0" applyAlignment="0" applyProtection="0">
      <alignment vertical="center"/>
    </xf>
    <xf numFmtId="26" fontId="49" fillId="49" borderId="0" applyNumberFormat="0" applyBorder="0" applyAlignment="0" applyProtection="0">
      <alignment vertical="center"/>
    </xf>
    <xf numFmtId="180" fontId="0" fillId="0" borderId="0" applyFont="0" applyFill="0" applyBorder="0" applyAlignment="0" applyProtection="0"/>
    <xf numFmtId="180" fontId="3" fillId="0" borderId="0" applyFont="0" applyFill="0" applyBorder="0" applyAlignment="0" applyProtection="0"/>
    <xf numFmtId="26" fontId="3" fillId="0" borderId="0"/>
    <xf numFmtId="26" fontId="0" fillId="0" borderId="0"/>
    <xf numFmtId="26" fontId="3" fillId="0" borderId="0"/>
    <xf numFmtId="26" fontId="3" fillId="0" borderId="0"/>
    <xf numFmtId="26" fontId="3" fillId="0" borderId="0"/>
  </cellStyleXfs>
  <cellXfs count="271">
    <xf numFmtId="26" fontId="0" fillId="0" borderId="0" xfId="0"/>
    <xf numFmtId="26" fontId="1" fillId="2" borderId="0" xfId="51" applyFont="1" applyFill="1" applyAlignment="1">
      <alignment horizontal="center"/>
    </xf>
    <xf numFmtId="26" fontId="2" fillId="0" borderId="0" xfId="51" applyFont="1" applyFill="1" applyAlignment="1">
      <alignment horizontal="center"/>
    </xf>
    <xf numFmtId="26" fontId="2" fillId="3" borderId="0" xfId="51" applyFont="1" applyFill="1" applyAlignment="1">
      <alignment horizontal="center"/>
    </xf>
    <xf numFmtId="26" fontId="3" fillId="0" borderId="0" xfId="51"/>
    <xf numFmtId="26" fontId="2" fillId="4" borderId="0" xfId="51" applyFont="1" applyFill="1" applyAlignment="1">
      <alignment horizontal="center"/>
    </xf>
    <xf numFmtId="26" fontId="2" fillId="5" borderId="0" xfId="51" applyFont="1" applyFill="1" applyAlignment="1">
      <alignment horizontal="center"/>
    </xf>
    <xf numFmtId="26" fontId="2" fillId="0" borderId="0" xfId="51" applyFont="1"/>
    <xf numFmtId="26" fontId="2" fillId="0" borderId="0" xfId="51" applyFont="1" applyAlignment="1">
      <alignment horizontal="center"/>
    </xf>
    <xf numFmtId="26" fontId="3" fillId="0" borderId="0" xfId="51" applyFont="1"/>
    <xf numFmtId="26" fontId="0" fillId="6" borderId="0" xfId="0" applyFill="1"/>
    <xf numFmtId="181" fontId="0" fillId="7" borderId="0" xfId="0" applyNumberFormat="1" applyFill="1"/>
    <xf numFmtId="26" fontId="0" fillId="7" borderId="0" xfId="0" applyFill="1"/>
    <xf numFmtId="26" fontId="0" fillId="0" borderId="0" xfId="0" applyFill="1"/>
    <xf numFmtId="26" fontId="4" fillId="0" borderId="0" xfId="0" applyFont="1"/>
    <xf numFmtId="26" fontId="0" fillId="8" borderId="0" xfId="0" applyFill="1"/>
    <xf numFmtId="26" fontId="5" fillId="0" borderId="0" xfId="0" applyFont="1"/>
    <xf numFmtId="26" fontId="6" fillId="0" borderId="0" xfId="0" applyFont="1"/>
    <xf numFmtId="2" fontId="0" fillId="0" borderId="0" xfId="0" applyNumberFormat="1" applyBorder="1"/>
    <xf numFmtId="26" fontId="6" fillId="7" borderId="0" xfId="0" applyFont="1" applyFill="1" applyAlignment="1">
      <alignment horizontal="center"/>
    </xf>
    <xf numFmtId="26" fontId="2" fillId="0" borderId="0" xfId="51" applyFont="1" applyFill="1" applyAlignment="1">
      <alignment horizontal="right"/>
    </xf>
    <xf numFmtId="26" fontId="3" fillId="0" borderId="0" xfId="51" applyFont="1" applyFill="1" applyAlignment="1">
      <alignment horizontal="center"/>
    </xf>
    <xf numFmtId="26" fontId="2" fillId="0" borderId="0" xfId="51" applyFont="1" applyFill="1" applyAlignment="1">
      <alignment horizontal="left"/>
    </xf>
    <xf numFmtId="26" fontId="0" fillId="0" borderId="1" xfId="0" applyBorder="1"/>
    <xf numFmtId="26" fontId="0" fillId="0" borderId="2" xfId="0" applyBorder="1"/>
    <xf numFmtId="26" fontId="6" fillId="0" borderId="3" xfId="0" applyFont="1" applyBorder="1" applyAlignment="1">
      <alignment horizontal="center"/>
    </xf>
    <xf numFmtId="26" fontId="6" fillId="0" borderId="2" xfId="0" applyFont="1" applyBorder="1" applyAlignment="1">
      <alignment horizontal="center"/>
    </xf>
    <xf numFmtId="26" fontId="6" fillId="0" borderId="1" xfId="0" applyFont="1" applyBorder="1" applyAlignment="1">
      <alignment horizontal="center"/>
    </xf>
    <xf numFmtId="26" fontId="6" fillId="0" borderId="4" xfId="0" applyFont="1" applyBorder="1" applyAlignment="1">
      <alignment horizontal="center"/>
    </xf>
    <xf numFmtId="26" fontId="6" fillId="0" borderId="0" xfId="0" applyFont="1" applyBorder="1" applyAlignment="1">
      <alignment horizontal="center"/>
    </xf>
    <xf numFmtId="26" fontId="0" fillId="0" borderId="4" xfId="0" applyBorder="1"/>
    <xf numFmtId="26" fontId="0" fillId="0" borderId="5" xfId="0" applyBorder="1"/>
    <xf numFmtId="26" fontId="0" fillId="0" borderId="0" xfId="0" applyBorder="1"/>
    <xf numFmtId="26" fontId="3" fillId="0" borderId="0" xfId="51" applyBorder="1" applyAlignment="1">
      <alignment horizontal="center"/>
    </xf>
    <xf numFmtId="26" fontId="0" fillId="0" borderId="0" xfId="0" applyBorder="1" applyAlignment="1">
      <alignment horizontal="center"/>
    </xf>
    <xf numFmtId="26" fontId="0" fillId="0" borderId="4" xfId="0" applyBorder="1" applyAlignment="1">
      <alignment horizontal="center"/>
    </xf>
    <xf numFmtId="26" fontId="0" fillId="0" borderId="5" xfId="0" applyBorder="1" applyAlignment="1">
      <alignment horizontal="center"/>
    </xf>
    <xf numFmtId="26" fontId="0" fillId="0" borderId="6" xfId="0" applyBorder="1" applyAlignment="1">
      <alignment horizontal="center"/>
    </xf>
    <xf numFmtId="26" fontId="0" fillId="0" borderId="7" xfId="0" applyBorder="1" applyAlignment="1">
      <alignment horizontal="center"/>
    </xf>
    <xf numFmtId="26" fontId="0" fillId="0" borderId="8" xfId="0" applyBorder="1" applyAlignment="1">
      <alignment horizontal="center"/>
    </xf>
    <xf numFmtId="26" fontId="0" fillId="0" borderId="0" xfId="0" applyAlignment="1">
      <alignment horizontal="center"/>
    </xf>
    <xf numFmtId="26" fontId="2" fillId="0" borderId="0" xfId="51" applyFont="1" applyFill="1"/>
    <xf numFmtId="26" fontId="3" fillId="0" borderId="0" xfId="51" applyBorder="1"/>
    <xf numFmtId="26" fontId="3" fillId="0" borderId="0" xfId="51" applyFill="1" applyBorder="1"/>
    <xf numFmtId="26" fontId="3" fillId="0" borderId="4" xfId="51" applyFill="1" applyBorder="1"/>
    <xf numFmtId="26" fontId="3" fillId="0" borderId="5" xfId="51" applyFill="1" applyBorder="1"/>
    <xf numFmtId="26" fontId="3" fillId="0" borderId="0" xfId="51" applyFont="1" applyFill="1" applyBorder="1"/>
    <xf numFmtId="26" fontId="3" fillId="0" borderId="9" xfId="51" applyFont="1" applyBorder="1"/>
    <xf numFmtId="26" fontId="3" fillId="0" borderId="10" xfId="51" applyFill="1" applyBorder="1"/>
    <xf numFmtId="26" fontId="3" fillId="0" borderId="9" xfId="51" applyFill="1" applyBorder="1"/>
    <xf numFmtId="26" fontId="3" fillId="0" borderId="11" xfId="51" applyFill="1" applyBorder="1"/>
    <xf numFmtId="182" fontId="3" fillId="0" borderId="3" xfId="51" applyNumberFormat="1" applyBorder="1"/>
    <xf numFmtId="26" fontId="3" fillId="0" borderId="3" xfId="51" applyBorder="1"/>
    <xf numFmtId="26" fontId="0" fillId="0" borderId="3" xfId="0" applyBorder="1"/>
    <xf numFmtId="26" fontId="3" fillId="0" borderId="1" xfId="51" applyBorder="1"/>
    <xf numFmtId="182" fontId="0" fillId="0" borderId="3" xfId="0" applyNumberFormat="1" applyBorder="1"/>
    <xf numFmtId="26" fontId="7" fillId="0" borderId="0" xfId="51" applyFont="1"/>
    <xf numFmtId="26" fontId="0" fillId="0" borderId="7" xfId="0" applyBorder="1"/>
    <xf numFmtId="1" fontId="0" fillId="0" borderId="8" xfId="0" applyNumberFormat="1" applyBorder="1"/>
    <xf numFmtId="182" fontId="3" fillId="0" borderId="6" xfId="51" applyNumberFormat="1" applyBorder="1"/>
    <xf numFmtId="26" fontId="3" fillId="0" borderId="6" xfId="51" applyBorder="1"/>
    <xf numFmtId="26" fontId="0" fillId="0" borderId="6" xfId="0" applyBorder="1"/>
    <xf numFmtId="26" fontId="3" fillId="0" borderId="7" xfId="51" applyBorder="1"/>
    <xf numFmtId="182" fontId="0" fillId="0" borderId="6" xfId="0" applyNumberFormat="1" applyBorder="1"/>
    <xf numFmtId="26" fontId="0" fillId="0" borderId="8" xfId="0" applyBorder="1"/>
    <xf numFmtId="1" fontId="0" fillId="0" borderId="5" xfId="0" applyNumberFormat="1" applyBorder="1"/>
    <xf numFmtId="182" fontId="3" fillId="0" borderId="0" xfId="51" applyNumberFormat="1" applyBorder="1"/>
    <xf numFmtId="26" fontId="3" fillId="0" borderId="4" xfId="51" applyBorder="1"/>
    <xf numFmtId="182" fontId="0" fillId="0" borderId="0" xfId="0" applyNumberFormat="1" applyBorder="1"/>
    <xf numFmtId="26" fontId="0" fillId="0" borderId="10" xfId="0" applyBorder="1"/>
    <xf numFmtId="1" fontId="0" fillId="0" borderId="11" xfId="0" applyNumberFormat="1" applyBorder="1"/>
    <xf numFmtId="182" fontId="3" fillId="0" borderId="9" xfId="51" applyNumberFormat="1" applyBorder="1"/>
    <xf numFmtId="26" fontId="3" fillId="0" borderId="9" xfId="51" applyBorder="1"/>
    <xf numFmtId="26" fontId="0" fillId="0" borderId="9" xfId="0" applyBorder="1"/>
    <xf numFmtId="26" fontId="3" fillId="0" borderId="10" xfId="51" applyBorder="1"/>
    <xf numFmtId="182" fontId="0" fillId="0" borderId="9" xfId="0" applyNumberFormat="1" applyBorder="1"/>
    <xf numFmtId="26" fontId="0" fillId="0" borderId="11" xfId="0" applyBorder="1"/>
    <xf numFmtId="26" fontId="0" fillId="9" borderId="0" xfId="0" applyFill="1"/>
    <xf numFmtId="2" fontId="0" fillId="0" borderId="0" xfId="0" applyNumberFormat="1"/>
    <xf numFmtId="26" fontId="8" fillId="0" borderId="0" xfId="0" applyFont="1"/>
    <xf numFmtId="26" fontId="0" fillId="0" borderId="0" xfId="0" applyProtection="1">
      <protection hidden="1"/>
    </xf>
    <xf numFmtId="2" fontId="0" fillId="0" borderId="1" xfId="0" applyNumberFormat="1" applyBorder="1"/>
    <xf numFmtId="2" fontId="0" fillId="0" borderId="4" xfId="0" applyNumberFormat="1" applyBorder="1"/>
    <xf numFmtId="2" fontId="0" fillId="0" borderId="10" xfId="0" applyNumberFormat="1" applyBorder="1"/>
    <xf numFmtId="26" fontId="3" fillId="0" borderId="9" xfId="51" applyFont="1" applyFill="1" applyBorder="1"/>
    <xf numFmtId="26" fontId="0" fillId="10" borderId="0" xfId="0" applyFill="1"/>
    <xf numFmtId="182" fontId="3" fillId="0" borderId="0" xfId="51" applyNumberFormat="1"/>
    <xf numFmtId="26" fontId="9" fillId="0" borderId="0" xfId="0" applyFont="1"/>
    <xf numFmtId="182" fontId="0" fillId="7" borderId="0" xfId="0" applyNumberFormat="1" applyFill="1"/>
    <xf numFmtId="1" fontId="0" fillId="7" borderId="0" xfId="0" applyNumberFormat="1" applyFill="1"/>
    <xf numFmtId="2" fontId="0" fillId="7" borderId="0" xfId="0" applyNumberFormat="1" applyFill="1"/>
    <xf numFmtId="26" fontId="2" fillId="0" borderId="0" xfId="0" applyFont="1" applyBorder="1"/>
    <xf numFmtId="2" fontId="3" fillId="0" borderId="0" xfId="0" applyNumberFormat="1" applyFont="1" applyBorder="1"/>
    <xf numFmtId="26" fontId="0" fillId="0" borderId="0" xfId="0" applyBorder="1" applyAlignment="1">
      <alignment horizontal="left"/>
    </xf>
    <xf numFmtId="26" fontId="2" fillId="0" borderId="0" xfId="0" applyFont="1" applyBorder="1" applyAlignment="1">
      <alignment horizontal="left"/>
    </xf>
    <xf numFmtId="182" fontId="0" fillId="0" borderId="0" xfId="0" applyNumberFormat="1"/>
    <xf numFmtId="26" fontId="0" fillId="0" borderId="12" xfId="0" applyBorder="1"/>
    <xf numFmtId="26" fontId="0" fillId="0" borderId="13" xfId="0" applyBorder="1" applyAlignment="1">
      <alignment horizontal="center"/>
    </xf>
    <xf numFmtId="26" fontId="0" fillId="0" borderId="14" xfId="0" applyBorder="1" applyAlignment="1">
      <alignment horizontal="center"/>
    </xf>
    <xf numFmtId="26" fontId="0" fillId="0" borderId="15" xfId="0" applyBorder="1" applyAlignment="1">
      <alignment horizontal="center"/>
    </xf>
    <xf numFmtId="26" fontId="0" fillId="0" borderId="13" xfId="0" applyBorder="1" applyAlignment="1">
      <alignment horizontal="center" wrapText="1"/>
    </xf>
    <xf numFmtId="26" fontId="0" fillId="0" borderId="14" xfId="0" applyBorder="1" applyAlignment="1">
      <alignment horizontal="center" wrapText="1"/>
    </xf>
    <xf numFmtId="26" fontId="0" fillId="0" borderId="15" xfId="0" applyBorder="1" applyAlignment="1">
      <alignment horizontal="center" wrapText="1"/>
    </xf>
    <xf numFmtId="26" fontId="0" fillId="0" borderId="14" xfId="0" applyBorder="1"/>
    <xf numFmtId="26" fontId="0" fillId="0" borderId="15" xfId="0" applyBorder="1"/>
    <xf numFmtId="26" fontId="0" fillId="0" borderId="16" xfId="0" applyBorder="1"/>
    <xf numFmtId="26" fontId="0" fillId="0" borderId="17" xfId="0" applyBorder="1"/>
    <xf numFmtId="26" fontId="0" fillId="0" borderId="18" xfId="0" applyBorder="1"/>
    <xf numFmtId="26" fontId="0" fillId="0" borderId="16" xfId="0" applyFill="1" applyBorder="1"/>
    <xf numFmtId="26" fontId="0" fillId="0" borderId="17" xfId="0" applyFill="1" applyBorder="1"/>
    <xf numFmtId="26" fontId="0" fillId="11" borderId="17" xfId="0" applyFill="1" applyBorder="1"/>
    <xf numFmtId="26" fontId="0" fillId="11" borderId="18" xfId="0" applyFill="1" applyBorder="1"/>
    <xf numFmtId="26" fontId="0" fillId="0" borderId="18" xfId="0" applyFill="1" applyBorder="1"/>
    <xf numFmtId="26" fontId="0" fillId="0" borderId="19" xfId="0" applyBorder="1"/>
    <xf numFmtId="26" fontId="0" fillId="0" borderId="20" xfId="0" applyBorder="1"/>
    <xf numFmtId="26" fontId="0" fillId="0" borderId="21" xfId="0" applyBorder="1"/>
    <xf numFmtId="26" fontId="10" fillId="0" borderId="0" xfId="51" applyFont="1" applyBorder="1"/>
    <xf numFmtId="26" fontId="2" fillId="0" borderId="0" xfId="51" applyFont="1" applyBorder="1"/>
    <xf numFmtId="26" fontId="2" fillId="0" borderId="0" xfId="51" applyFont="1" applyBorder="1" applyAlignment="1">
      <alignment horizontal="center"/>
    </xf>
    <xf numFmtId="2" fontId="0" fillId="8" borderId="0" xfId="0" applyNumberFormat="1" applyFill="1"/>
    <xf numFmtId="26" fontId="0" fillId="12" borderId="0" xfId="0" applyFill="1"/>
    <xf numFmtId="26" fontId="0" fillId="0" borderId="0" xfId="0" applyFont="1"/>
    <xf numFmtId="26" fontId="11" fillId="0" borderId="0" xfId="0" applyFont="1" applyFill="1" applyBorder="1"/>
    <xf numFmtId="26" fontId="12" fillId="0" borderId="0" xfId="0" applyFont="1" applyFill="1" applyBorder="1"/>
    <xf numFmtId="11" fontId="0" fillId="7" borderId="0" xfId="0" applyNumberFormat="1" applyFill="1"/>
    <xf numFmtId="26" fontId="13" fillId="0" borderId="0" xfId="0" applyFont="1"/>
    <xf numFmtId="26" fontId="0" fillId="6" borderId="0" xfId="0" applyFont="1" applyFill="1"/>
    <xf numFmtId="11" fontId="0" fillId="0" borderId="0" xfId="0" applyNumberFormat="1" applyFill="1"/>
    <xf numFmtId="11" fontId="14" fillId="8" borderId="0" xfId="0" applyNumberFormat="1" applyFont="1" applyFill="1"/>
    <xf numFmtId="11" fontId="14" fillId="0" borderId="0" xfId="0" applyNumberFormat="1" applyFont="1" applyFill="1"/>
    <xf numFmtId="26" fontId="15" fillId="0" borderId="0" xfId="0" applyFont="1"/>
    <xf numFmtId="183" fontId="0" fillId="7" borderId="0" xfId="0" applyNumberFormat="1" applyFill="1"/>
    <xf numFmtId="26" fontId="16" fillId="0" borderId="0" xfId="0" applyFont="1"/>
    <xf numFmtId="181" fontId="0" fillId="0" borderId="0" xfId="0" applyNumberFormat="1" applyFill="1"/>
    <xf numFmtId="182" fontId="0" fillId="0" borderId="0" xfId="0" applyNumberFormat="1" applyFill="1"/>
    <xf numFmtId="2" fontId="0" fillId="0" borderId="0" xfId="0" applyNumberFormat="1" applyFill="1"/>
    <xf numFmtId="184" fontId="0" fillId="7" borderId="0" xfId="0" applyNumberFormat="1" applyFill="1"/>
    <xf numFmtId="185" fontId="0" fillId="7" borderId="0" xfId="0" applyNumberFormat="1" applyFill="1"/>
    <xf numFmtId="26" fontId="14" fillId="8" borderId="0" xfId="0" applyFont="1" applyFill="1"/>
    <xf numFmtId="26" fontId="17" fillId="0" borderId="0" xfId="0" applyFont="1"/>
    <xf numFmtId="26" fontId="0" fillId="0" borderId="0" xfId="0" applyFill="1" applyBorder="1"/>
    <xf numFmtId="1" fontId="0" fillId="0" borderId="0" xfId="0" applyNumberFormat="1" applyFill="1"/>
    <xf numFmtId="26" fontId="5" fillId="0" borderId="0" xfId="0" applyFont="1" applyFill="1"/>
    <xf numFmtId="26" fontId="18" fillId="0" borderId="0" xfId="0" applyFont="1"/>
    <xf numFmtId="186" fontId="0" fillId="0" borderId="0" xfId="0" applyNumberFormat="1"/>
    <xf numFmtId="1" fontId="0" fillId="0" borderId="0" xfId="0" applyNumberFormat="1"/>
    <xf numFmtId="187" fontId="0" fillId="7" borderId="0" xfId="0" applyNumberFormat="1" applyFill="1"/>
    <xf numFmtId="26" fontId="14" fillId="0" borderId="0" xfId="0" applyFont="1"/>
    <xf numFmtId="26" fontId="3" fillId="0" borderId="0" xfId="51" applyFont="1" applyFill="1" applyBorder="1" applyAlignment="1" applyProtection="1">
      <alignment horizontal="left"/>
    </xf>
    <xf numFmtId="26" fontId="3" fillId="0" borderId="9" xfId="51" applyFont="1" applyFill="1" applyBorder="1" applyAlignment="1" applyProtection="1">
      <alignment horizontal="left"/>
    </xf>
    <xf numFmtId="26" fontId="19" fillId="13" borderId="0" xfId="0" applyFont="1" applyFill="1" applyAlignment="1">
      <alignment horizontal="center"/>
    </xf>
    <xf numFmtId="26" fontId="19" fillId="13" borderId="0" xfId="0" applyFont="1" applyFill="1" applyAlignment="1">
      <alignment horizontal="left"/>
    </xf>
    <xf numFmtId="26" fontId="19" fillId="13" borderId="0" xfId="0" applyFont="1" applyFill="1"/>
    <xf numFmtId="26" fontId="19" fillId="14" borderId="0" xfId="0" applyFont="1" applyFill="1" applyAlignment="1">
      <alignment horizontal="center"/>
    </xf>
    <xf numFmtId="26" fontId="20" fillId="13" borderId="0" xfId="0" applyFont="1" applyFill="1" applyAlignment="1">
      <alignment horizontal="center"/>
    </xf>
    <xf numFmtId="49" fontId="20" fillId="13" borderId="0" xfId="0" applyNumberFormat="1" applyFont="1" applyFill="1" applyAlignment="1">
      <alignment horizontal="left"/>
    </xf>
    <xf numFmtId="26" fontId="21" fillId="13" borderId="0" xfId="0" applyFont="1" applyFill="1"/>
    <xf numFmtId="26" fontId="22" fillId="13" borderId="0" xfId="6" applyFont="1" applyFill="1" applyBorder="1" applyAlignment="1">
      <alignment vertical="center"/>
    </xf>
    <xf numFmtId="26" fontId="22" fillId="13" borderId="0" xfId="6" applyFont="1" applyFill="1" applyBorder="1" applyAlignment="1">
      <alignment horizontal="right" vertical="center"/>
    </xf>
    <xf numFmtId="26" fontId="20" fillId="13" borderId="0" xfId="0" applyFont="1" applyFill="1" applyAlignment="1">
      <alignment horizontal="left"/>
    </xf>
    <xf numFmtId="26" fontId="21" fillId="13" borderId="0" xfId="0" applyFont="1" applyFill="1" applyAlignment="1">
      <alignment horizontal="center"/>
    </xf>
    <xf numFmtId="26" fontId="3" fillId="13" borderId="0" xfId="0" applyFont="1" applyFill="1" applyAlignment="1"/>
    <xf numFmtId="26" fontId="23" fillId="13" borderId="0" xfId="0" applyFont="1" applyFill="1" applyAlignment="1">
      <alignment horizontal="center"/>
    </xf>
    <xf numFmtId="26" fontId="23" fillId="15" borderId="0" xfId="0" applyFont="1" applyFill="1" applyAlignment="1">
      <alignment horizontal="left"/>
    </xf>
    <xf numFmtId="26" fontId="21" fillId="13" borderId="0" xfId="0" applyFont="1" applyFill="1" applyAlignment="1">
      <alignment horizontal="left"/>
    </xf>
    <xf numFmtId="49" fontId="21" fillId="13" borderId="0" xfId="0" applyNumberFormat="1" applyFont="1" applyFill="1" applyAlignment="1">
      <alignment horizontal="center"/>
    </xf>
    <xf numFmtId="26" fontId="21" fillId="13" borderId="0" xfId="0" applyFont="1" applyFill="1" applyAlignment="1">
      <alignment wrapText="1"/>
    </xf>
    <xf numFmtId="26" fontId="24" fillId="13" borderId="0" xfId="6" applyFont="1" applyFill="1" applyBorder="1" applyAlignment="1">
      <alignment vertical="center"/>
    </xf>
    <xf numFmtId="26" fontId="0" fillId="16" borderId="0" xfId="0" applyFill="1" applyBorder="1" applyProtection="1">
      <protection hidden="1"/>
    </xf>
    <xf numFmtId="26" fontId="0" fillId="16" borderId="22" xfId="0" applyFill="1" applyBorder="1" applyProtection="1">
      <protection hidden="1"/>
    </xf>
    <xf numFmtId="26" fontId="0" fillId="16" borderId="0" xfId="0" applyFill="1" applyProtection="1">
      <protection hidden="1"/>
    </xf>
    <xf numFmtId="26" fontId="0" fillId="16" borderId="0" xfId="0" applyFill="1" applyAlignment="1" applyProtection="1">
      <alignment horizontal="right"/>
      <protection hidden="1"/>
    </xf>
    <xf numFmtId="26" fontId="14" fillId="16" borderId="0" xfId="0" applyFont="1" applyFill="1" applyProtection="1">
      <protection hidden="1"/>
    </xf>
    <xf numFmtId="26" fontId="0" fillId="17" borderId="0" xfId="0" applyFill="1" applyProtection="1">
      <protection hidden="1"/>
    </xf>
    <xf numFmtId="26" fontId="25" fillId="17" borderId="0" xfId="0" applyFont="1" applyFill="1" applyAlignment="1" applyProtection="1">
      <alignment horizontal="left" vertical="center"/>
      <protection hidden="1"/>
    </xf>
    <xf numFmtId="26" fontId="0" fillId="17" borderId="0" xfId="0" applyFill="1" applyAlignment="1" applyProtection="1">
      <alignment horizontal="right"/>
      <protection hidden="1"/>
    </xf>
    <xf numFmtId="26" fontId="0" fillId="17" borderId="0" xfId="0" applyFill="1" applyBorder="1" applyProtection="1">
      <protection hidden="1"/>
    </xf>
    <xf numFmtId="26" fontId="14" fillId="18" borderId="0" xfId="0" applyFont="1" applyFill="1" applyProtection="1">
      <protection hidden="1"/>
    </xf>
    <xf numFmtId="26" fontId="0" fillId="18" borderId="0" xfId="0" applyFill="1" applyBorder="1" applyProtection="1">
      <protection hidden="1"/>
    </xf>
    <xf numFmtId="26" fontId="0" fillId="18" borderId="0" xfId="0" applyFill="1" applyBorder="1" applyAlignment="1" applyProtection="1">
      <alignment horizontal="right"/>
      <protection hidden="1"/>
    </xf>
    <xf numFmtId="26" fontId="14" fillId="18" borderId="0" xfId="0" applyFont="1" applyFill="1" applyBorder="1" applyProtection="1">
      <protection hidden="1"/>
    </xf>
    <xf numFmtId="26" fontId="26" fillId="18" borderId="0" xfId="0" applyFont="1" applyFill="1" applyBorder="1" applyProtection="1">
      <protection hidden="1"/>
    </xf>
    <xf numFmtId="26" fontId="0" fillId="12" borderId="0" xfId="0" applyFill="1" applyBorder="1" applyProtection="1">
      <protection hidden="1"/>
    </xf>
    <xf numFmtId="26" fontId="27" fillId="18" borderId="0" xfId="6" applyFont="1" applyFill="1" applyBorder="1" applyAlignment="1" applyProtection="1">
      <alignment horizontal="right"/>
      <protection locked="0"/>
    </xf>
    <xf numFmtId="26" fontId="0" fillId="18" borderId="22" xfId="0" applyFill="1" applyBorder="1" applyProtection="1">
      <protection hidden="1"/>
    </xf>
    <xf numFmtId="26" fontId="0" fillId="18" borderId="22" xfId="0" applyFill="1" applyBorder="1" applyAlignment="1" applyProtection="1">
      <alignment horizontal="right"/>
      <protection hidden="1"/>
    </xf>
    <xf numFmtId="26" fontId="14" fillId="18" borderId="22" xfId="0" applyFont="1" applyFill="1" applyBorder="1" applyProtection="1">
      <protection hidden="1"/>
    </xf>
    <xf numFmtId="26" fontId="0" fillId="13" borderId="0" xfId="0" applyFill="1" applyProtection="1">
      <protection hidden="1"/>
    </xf>
    <xf numFmtId="26" fontId="0" fillId="13" borderId="0" xfId="0" applyFill="1" applyAlignment="1" applyProtection="1">
      <alignment horizontal="right"/>
      <protection hidden="1"/>
    </xf>
    <xf numFmtId="49" fontId="0" fillId="13" borderId="0" xfId="0" applyNumberFormat="1" applyFill="1" applyProtection="1">
      <protection hidden="1"/>
    </xf>
    <xf numFmtId="26" fontId="0" fillId="13" borderId="0" xfId="0" applyFill="1" applyBorder="1" applyProtection="1">
      <protection hidden="1"/>
    </xf>
    <xf numFmtId="26" fontId="11" fillId="13" borderId="0" xfId="0" applyFont="1" applyFill="1" applyProtection="1">
      <protection hidden="1"/>
    </xf>
    <xf numFmtId="26" fontId="0" fillId="13" borderId="7" xfId="0" applyFill="1" applyBorder="1" applyProtection="1">
      <protection hidden="1"/>
    </xf>
    <xf numFmtId="26" fontId="0" fillId="13" borderId="6" xfId="0" applyFill="1" applyBorder="1" applyProtection="1">
      <protection hidden="1"/>
    </xf>
    <xf numFmtId="26" fontId="28" fillId="13" borderId="6" xfId="51" applyFont="1" applyFill="1" applyBorder="1" applyAlignment="1" applyProtection="1">
      <alignment horizontal="right"/>
      <protection hidden="1"/>
    </xf>
    <xf numFmtId="26" fontId="0" fillId="12" borderId="23" xfId="0" applyFill="1" applyBorder="1" applyProtection="1">
      <protection locked="0"/>
    </xf>
    <xf numFmtId="26" fontId="0" fillId="13" borderId="8" xfId="0" applyFill="1" applyBorder="1" applyProtection="1">
      <protection hidden="1"/>
    </xf>
    <xf numFmtId="26" fontId="0" fillId="13" borderId="4" xfId="0" applyFill="1" applyBorder="1" applyProtection="1">
      <protection hidden="1"/>
    </xf>
    <xf numFmtId="26" fontId="28" fillId="13" borderId="0" xfId="51" applyFont="1" applyFill="1" applyBorder="1" applyAlignment="1" applyProtection="1">
      <alignment horizontal="right"/>
      <protection hidden="1"/>
    </xf>
    <xf numFmtId="26" fontId="0" fillId="12" borderId="24" xfId="0" applyFill="1" applyBorder="1" applyProtection="1">
      <protection locked="0"/>
    </xf>
    <xf numFmtId="26" fontId="0" fillId="13" borderId="5" xfId="0" applyFill="1" applyBorder="1" applyProtection="1">
      <protection hidden="1"/>
    </xf>
    <xf numFmtId="2" fontId="0" fillId="13" borderId="24" xfId="0" applyNumberFormat="1" applyFill="1" applyBorder="1" applyProtection="1">
      <protection hidden="1"/>
    </xf>
    <xf numFmtId="26" fontId="0" fillId="13" borderId="24" xfId="0" applyFill="1" applyBorder="1" applyProtection="1">
      <protection hidden="1"/>
    </xf>
    <xf numFmtId="26" fontId="28" fillId="13" borderId="4" xfId="0" applyFont="1" applyFill="1" applyBorder="1" applyProtection="1">
      <protection hidden="1"/>
    </xf>
    <xf numFmtId="26" fontId="28" fillId="13" borderId="0" xfId="0" applyFont="1" applyFill="1" applyBorder="1" applyProtection="1">
      <protection hidden="1"/>
    </xf>
    <xf numFmtId="26" fontId="28" fillId="13" borderId="0" xfId="0" applyFont="1" applyFill="1" applyBorder="1" applyAlignment="1" applyProtection="1">
      <alignment horizontal="right"/>
      <protection hidden="1"/>
    </xf>
    <xf numFmtId="186" fontId="0" fillId="13" borderId="24" xfId="0" applyNumberFormat="1" applyFill="1" applyBorder="1" applyProtection="1">
      <protection hidden="1"/>
    </xf>
    <xf numFmtId="26" fontId="28" fillId="13" borderId="10" xfId="0" applyFont="1" applyFill="1" applyBorder="1" applyProtection="1">
      <protection hidden="1"/>
    </xf>
    <xf numFmtId="26" fontId="28" fillId="13" borderId="9" xfId="0" applyFont="1" applyFill="1" applyBorder="1" applyProtection="1">
      <protection hidden="1"/>
    </xf>
    <xf numFmtId="26" fontId="0" fillId="13" borderId="9" xfId="0" applyFill="1" applyBorder="1" applyProtection="1">
      <protection hidden="1"/>
    </xf>
    <xf numFmtId="26" fontId="28" fillId="13" borderId="9" xfId="0" applyFont="1" applyFill="1" applyBorder="1" applyAlignment="1" applyProtection="1">
      <alignment horizontal="right"/>
      <protection hidden="1"/>
    </xf>
    <xf numFmtId="186" fontId="0" fillId="13" borderId="25" xfId="0" applyNumberFormat="1" applyFill="1" applyBorder="1" applyProtection="1">
      <protection hidden="1"/>
    </xf>
    <xf numFmtId="26" fontId="0" fillId="13" borderId="11" xfId="0" applyFill="1" applyBorder="1" applyProtection="1">
      <protection hidden="1"/>
    </xf>
    <xf numFmtId="26" fontId="28" fillId="13" borderId="0" xfId="0" applyFont="1" applyFill="1" applyProtection="1">
      <protection hidden="1"/>
    </xf>
    <xf numFmtId="26" fontId="11" fillId="13" borderId="0" xfId="0" applyFont="1" applyFill="1" applyBorder="1" applyProtection="1">
      <protection hidden="1"/>
    </xf>
    <xf numFmtId="26" fontId="11" fillId="13" borderId="7" xfId="0" applyFont="1" applyFill="1" applyBorder="1" applyProtection="1">
      <protection hidden="1"/>
    </xf>
    <xf numFmtId="26" fontId="28" fillId="13" borderId="6" xfId="0" applyFont="1" applyFill="1" applyBorder="1" applyProtection="1">
      <protection hidden="1"/>
    </xf>
    <xf numFmtId="26" fontId="28" fillId="13" borderId="6" xfId="0" applyFont="1" applyFill="1" applyBorder="1" applyAlignment="1" applyProtection="1">
      <alignment horizontal="right"/>
      <protection hidden="1"/>
    </xf>
    <xf numFmtId="26" fontId="6" fillId="13" borderId="23" xfId="0" applyFont="1" applyFill="1" applyBorder="1" applyAlignment="1" applyProtection="1">
      <alignment horizontal="center"/>
      <protection hidden="1"/>
    </xf>
    <xf numFmtId="2" fontId="0" fillId="0" borderId="24" xfId="0" applyNumberFormat="1" applyBorder="1" applyProtection="1">
      <protection hidden="1"/>
    </xf>
    <xf numFmtId="26" fontId="0" fillId="13" borderId="10" xfId="0" applyFill="1" applyBorder="1" applyProtection="1">
      <protection hidden="1"/>
    </xf>
    <xf numFmtId="26" fontId="28" fillId="13" borderId="9" xfId="51" applyFont="1" applyFill="1" applyBorder="1" applyAlignment="1" applyProtection="1">
      <alignment horizontal="right"/>
      <protection hidden="1"/>
    </xf>
    <xf numFmtId="2" fontId="0" fillId="0" borderId="25" xfId="0" applyNumberFormat="1" applyBorder="1" applyProtection="1">
      <protection hidden="1"/>
    </xf>
    <xf numFmtId="26" fontId="0" fillId="13" borderId="0" xfId="0" applyFill="1" applyBorder="1" applyAlignment="1" applyProtection="1">
      <alignment horizontal="right"/>
      <protection hidden="1"/>
    </xf>
    <xf numFmtId="1" fontId="0" fillId="13" borderId="24" xfId="0" applyNumberFormat="1" applyFill="1" applyBorder="1" applyProtection="1">
      <protection hidden="1"/>
    </xf>
    <xf numFmtId="26" fontId="5" fillId="13" borderId="5" xfId="0" applyFont="1" applyFill="1" applyBorder="1" applyProtection="1">
      <protection hidden="1"/>
    </xf>
    <xf numFmtId="26" fontId="0" fillId="13" borderId="9" xfId="0" applyFill="1" applyBorder="1" applyAlignment="1" applyProtection="1">
      <alignment horizontal="right"/>
      <protection hidden="1"/>
    </xf>
    <xf numFmtId="2" fontId="0" fillId="13" borderId="25" xfId="0" applyNumberFormat="1" applyFill="1" applyBorder="1" applyProtection="1">
      <protection hidden="1"/>
    </xf>
    <xf numFmtId="26" fontId="5" fillId="13" borderId="11" xfId="0" applyFont="1" applyFill="1" applyBorder="1" applyProtection="1">
      <protection hidden="1"/>
    </xf>
    <xf numFmtId="26" fontId="0" fillId="13" borderId="6" xfId="0" applyFill="1" applyBorder="1" applyAlignment="1" applyProtection="1">
      <alignment horizontal="right"/>
      <protection hidden="1"/>
    </xf>
    <xf numFmtId="2" fontId="0" fillId="13" borderId="23" xfId="0" applyNumberFormat="1" applyFill="1" applyBorder="1" applyProtection="1">
      <protection hidden="1"/>
    </xf>
    <xf numFmtId="26" fontId="0" fillId="12" borderId="25" xfId="0" applyFill="1" applyBorder="1" applyProtection="1">
      <protection locked="0"/>
    </xf>
    <xf numFmtId="2" fontId="0" fillId="13" borderId="0" xfId="0" applyNumberFormat="1" applyFill="1" applyBorder="1" applyProtection="1">
      <protection hidden="1"/>
    </xf>
    <xf numFmtId="1" fontId="0" fillId="13" borderId="0" xfId="0" applyNumberFormat="1" applyFill="1" applyBorder="1" applyProtection="1">
      <protection hidden="1"/>
    </xf>
    <xf numFmtId="26" fontId="29" fillId="13" borderId="0" xfId="0" applyFont="1" applyFill="1" applyProtection="1">
      <protection hidden="1"/>
    </xf>
    <xf numFmtId="26" fontId="5" fillId="13" borderId="0" xfId="0" applyFont="1" applyFill="1" applyBorder="1" applyProtection="1">
      <protection hidden="1"/>
    </xf>
    <xf numFmtId="182" fontId="0" fillId="13" borderId="0" xfId="0" applyNumberFormat="1" applyFill="1" applyBorder="1" applyProtection="1">
      <protection hidden="1"/>
    </xf>
    <xf numFmtId="26" fontId="14" fillId="13" borderId="6" xfId="0" applyFont="1" applyFill="1" applyBorder="1" applyAlignment="1" applyProtection="1">
      <alignment horizontal="right"/>
      <protection hidden="1"/>
    </xf>
    <xf numFmtId="26" fontId="0" fillId="12" borderId="23" xfId="0" applyFont="1" applyFill="1" applyBorder="1" applyAlignment="1" applyProtection="1">
      <alignment vertical="top"/>
      <protection locked="0"/>
    </xf>
    <xf numFmtId="26" fontId="0" fillId="0" borderId="24" xfId="0" applyFont="1" applyFill="1" applyBorder="1" applyAlignment="1" applyProtection="1">
      <alignment vertical="top"/>
      <protection hidden="1"/>
    </xf>
    <xf numFmtId="26" fontId="11" fillId="13" borderId="4" xfId="0" applyFont="1" applyFill="1" applyBorder="1" applyProtection="1">
      <protection hidden="1"/>
    </xf>
    <xf numFmtId="26" fontId="6" fillId="13" borderId="0" xfId="0" applyFont="1" applyFill="1" applyBorder="1" applyAlignment="1" applyProtection="1">
      <alignment horizontal="right"/>
      <protection hidden="1"/>
    </xf>
    <xf numFmtId="182" fontId="0" fillId="13" borderId="24" xfId="0" applyNumberFormat="1" applyFill="1" applyBorder="1" applyProtection="1">
      <protection hidden="1"/>
    </xf>
    <xf numFmtId="26" fontId="0" fillId="13" borderId="0" xfId="0" applyFill="1" applyBorder="1" applyAlignment="1" applyProtection="1">
      <alignment horizontal="center"/>
      <protection hidden="1"/>
    </xf>
    <xf numFmtId="26" fontId="0" fillId="13" borderId="24" xfId="0" applyFill="1" applyBorder="1" applyAlignment="1" applyProtection="1">
      <alignment horizontal="center"/>
      <protection hidden="1"/>
    </xf>
    <xf numFmtId="26" fontId="0" fillId="13" borderId="5" xfId="0" applyFill="1" applyBorder="1" applyAlignment="1" applyProtection="1">
      <alignment horizontal="center"/>
      <protection hidden="1"/>
    </xf>
    <xf numFmtId="182" fontId="0" fillId="13" borderId="1" xfId="0" applyNumberFormat="1" applyFill="1" applyBorder="1" applyProtection="1">
      <protection hidden="1"/>
    </xf>
    <xf numFmtId="26" fontId="5" fillId="13" borderId="26" xfId="0" applyFont="1" applyFill="1" applyBorder="1" applyAlignment="1" applyProtection="1">
      <alignment horizontal="left"/>
      <protection hidden="1"/>
    </xf>
    <xf numFmtId="26" fontId="0" fillId="12" borderId="26" xfId="0" applyFill="1" applyBorder="1" applyProtection="1">
      <protection locked="0"/>
    </xf>
    <xf numFmtId="2" fontId="0" fillId="13" borderId="1" xfId="0" applyNumberFormat="1" applyFill="1" applyBorder="1" applyProtection="1">
      <protection hidden="1"/>
    </xf>
    <xf numFmtId="1" fontId="0" fillId="13" borderId="10" xfId="0" applyNumberFormat="1" applyFill="1" applyBorder="1" applyProtection="1">
      <protection hidden="1"/>
    </xf>
    <xf numFmtId="26" fontId="0" fillId="13" borderId="25" xfId="0" applyFill="1" applyBorder="1" applyAlignment="1" applyProtection="1">
      <alignment horizontal="left"/>
      <protection hidden="1"/>
    </xf>
    <xf numFmtId="1" fontId="0" fillId="13" borderId="0" xfId="0" applyNumberFormat="1" applyFill="1" applyProtection="1">
      <protection hidden="1"/>
    </xf>
    <xf numFmtId="26" fontId="0" fillId="0" borderId="0" xfId="0" applyFill="1" applyProtection="1">
      <protection hidden="1"/>
    </xf>
    <xf numFmtId="26" fontId="30" fillId="19" borderId="0" xfId="0" applyFont="1" applyFill="1" applyProtection="1">
      <protection hidden="1"/>
    </xf>
    <xf numFmtId="26" fontId="0" fillId="19" borderId="0" xfId="0" applyFill="1" applyProtection="1">
      <protection hidden="1"/>
    </xf>
    <xf numFmtId="26" fontId="0" fillId="19" borderId="0" xfId="0" applyFill="1" applyAlignment="1" applyProtection="1">
      <alignment horizontal="right"/>
      <protection hidden="1"/>
    </xf>
    <xf numFmtId="26" fontId="0" fillId="15" borderId="0" xfId="0" applyFill="1" applyProtection="1">
      <protection hidden="1"/>
    </xf>
    <xf numFmtId="26" fontId="0" fillId="15" borderId="0" xfId="0" applyFill="1" applyBorder="1" applyProtection="1">
      <protection hidden="1"/>
    </xf>
    <xf numFmtId="26" fontId="31" fillId="13" borderId="0" xfId="0" applyFont="1" applyFill="1" applyBorder="1" applyAlignment="1" applyProtection="1">
      <alignment horizontal="left"/>
      <protection hidden="1"/>
    </xf>
    <xf numFmtId="26" fontId="3" fillId="13" borderId="6" xfId="51" applyFont="1" applyFill="1" applyBorder="1" applyAlignment="1" applyProtection="1">
      <alignment horizontal="right"/>
      <protection hidden="1"/>
    </xf>
    <xf numFmtId="26" fontId="3" fillId="13" borderId="8" xfId="51" applyFont="1" applyFill="1" applyBorder="1" applyProtection="1">
      <protection hidden="1"/>
    </xf>
    <xf numFmtId="26" fontId="0" fillId="0" borderId="0" xfId="0" applyBorder="1" applyProtection="1">
      <protection hidden="1"/>
    </xf>
    <xf numFmtId="26" fontId="3" fillId="13" borderId="0" xfId="51" applyFont="1" applyFill="1" applyBorder="1" applyAlignment="1" applyProtection="1">
      <alignment horizontal="right"/>
      <protection hidden="1"/>
    </xf>
    <xf numFmtId="26" fontId="3" fillId="13" borderId="5" xfId="51" applyFont="1" applyFill="1" applyBorder="1" applyProtection="1">
      <protection hidden="1"/>
    </xf>
    <xf numFmtId="26" fontId="3" fillId="13" borderId="9" xfId="51" applyFont="1" applyFill="1" applyBorder="1" applyAlignment="1" applyProtection="1">
      <alignment horizontal="right"/>
      <protection hidden="1"/>
    </xf>
    <xf numFmtId="26" fontId="3" fillId="13" borderId="11" xfId="51" applyFont="1" applyFill="1" applyBorder="1" applyProtection="1">
      <protection hidden="1"/>
    </xf>
    <xf numFmtId="26" fontId="31" fillId="13" borderId="0" xfId="0" applyFont="1" applyFill="1" applyAlignment="1" applyProtection="1">
      <alignment horizontal="left"/>
      <protection hidden="1"/>
    </xf>
    <xf numFmtId="26" fontId="0" fillId="0" borderId="23" xfId="0" applyBorder="1" applyProtection="1">
      <protection hidden="1"/>
    </xf>
    <xf numFmtId="26" fontId="0" fillId="18" borderId="0" xfId="0" applyFill="1" applyProtection="1">
      <protection hidden="1"/>
    </xf>
    <xf numFmtId="26" fontId="0" fillId="18" borderId="0" xfId="0" applyFill="1" applyAlignment="1" applyProtection="1">
      <alignment horizontal="right"/>
      <protection hidden="1"/>
    </xf>
    <xf numFmtId="26" fontId="26" fillId="18" borderId="0" xfId="0" applyFont="1" applyFill="1" applyBorder="1" applyProtection="1" quotePrefix="1">
      <protection hidden="1"/>
    </xf>
  </cellXfs>
  <cellStyles count="56">
    <cellStyle name="Normalny" xfId="0" builtinId="0"/>
    <cellStyle name="Dziesiętny" xfId="1" builtinId="3"/>
    <cellStyle name="Walutowy" xfId="2" builtinId="4"/>
    <cellStyle name="Procentowy" xfId="3" builtinId="5"/>
    <cellStyle name="Przecinek [0]" xfId="4" builtinId="6"/>
    <cellStyle name="Waluta [0]" xfId="5" builtinId="7"/>
    <cellStyle name="Hiperłącze" xfId="6" builtinId="8"/>
    <cellStyle name="Użyte hiperłącze" xfId="7" builtinId="9"/>
    <cellStyle name="Uwaga" xfId="8" builtinId="10"/>
    <cellStyle name="Tekst ostrzeżenia" xfId="9" builtinId="11"/>
    <cellStyle name="Tytuł" xfId="10" builtinId="15"/>
    <cellStyle name="Tekst objaśnienia" xfId="11" builtinId="53"/>
    <cellStyle name="Nagłówek 1" xfId="12" builtinId="16"/>
    <cellStyle name="Nagłówek 2" xfId="13" builtinId="17"/>
    <cellStyle name="Nagłówek 3" xfId="14" builtinId="18"/>
    <cellStyle name="Nagłówek 4" xfId="15" builtinId="19"/>
    <cellStyle name="Dane wejściowe" xfId="16" builtinId="20"/>
    <cellStyle name="Dane wyjściowe" xfId="17" builtinId="21"/>
    <cellStyle name="Obliczenia" xfId="18" builtinId="22"/>
    <cellStyle name="Komórka zaznaczona" xfId="19" builtinId="23"/>
    <cellStyle name="Komórka połączona" xfId="20" builtinId="24"/>
    <cellStyle name="Suma" xfId="21" builtinId="25"/>
    <cellStyle name="Dobre" xfId="22" builtinId="26"/>
    <cellStyle name="Złe" xfId="23" builtinId="27"/>
    <cellStyle name="Neutralne" xfId="24" builtinId="28"/>
    <cellStyle name="Akcent 1" xfId="25" builtinId="29"/>
    <cellStyle name="20% - Akcent 1" xfId="26" builtinId="30"/>
    <cellStyle name="40% - Akcent 1" xfId="27" builtinId="31"/>
    <cellStyle name="60% - Akcent 1" xfId="28" builtinId="32"/>
    <cellStyle name="Akcent 2" xfId="29" builtinId="33"/>
    <cellStyle name="20% - Akcent 2" xfId="30" builtinId="34"/>
    <cellStyle name="40% - Akcent 2" xfId="31" builtinId="35"/>
    <cellStyle name="60% - Akcent 2" xfId="32" builtinId="36"/>
    <cellStyle name="Akcent 3" xfId="33" builtinId="37"/>
    <cellStyle name="20% - Akcent 3" xfId="34" builtinId="38"/>
    <cellStyle name="40% - Akcent 3" xfId="35" builtinId="39"/>
    <cellStyle name="60% - Akcent 3" xfId="36" builtinId="40"/>
    <cellStyle name="Akcent 4" xfId="37" builtinId="41"/>
    <cellStyle name="20% - Akcent 4" xfId="38" builtinId="42"/>
    <cellStyle name="40% - Akcent 4" xfId="39" builtinId="43"/>
    <cellStyle name="60% - Akcent 4" xfId="40" builtinId="44"/>
    <cellStyle name="Akcent 5" xfId="41" builtinId="45"/>
    <cellStyle name="20% - Akcent 5" xfId="42" builtinId="46"/>
    <cellStyle name="40% - Akcent 5" xfId="43" builtinId="47"/>
    <cellStyle name="60% - Akcent 5" xfId="44" builtinId="48"/>
    <cellStyle name="Akcent 6" xfId="45" builtinId="49"/>
    <cellStyle name="20% - Akcent 6" xfId="46" builtinId="50"/>
    <cellStyle name="40% - Akcent 6" xfId="47" builtinId="51"/>
    <cellStyle name="60% - Akcent 6" xfId="48" builtinId="52"/>
    <cellStyle name="Comma 2" xfId="49"/>
    <cellStyle name="Comma 3" xfId="50"/>
    <cellStyle name="Normal 2" xfId="51"/>
    <cellStyle name="Normal 3" xfId="52"/>
    <cellStyle name="Normal 4" xfId="53"/>
    <cellStyle name="Normal 4 2" xfId="54"/>
    <cellStyle name="Normal 4 3" xfId="55"/>
  </cellStyles>
  <dxfs count="3">
    <dxf>
      <fill>
        <patternFill patternType="solid">
          <bgColor rgb="FFFF0000"/>
        </patternFill>
      </fill>
    </dxf>
    <dxf>
      <font>
        <color rgb="FFFF0000"/>
      </font>
      <fill>
        <patternFill patternType="none"/>
      </fill>
    </dxf>
    <dxf>
      <fill>
        <patternFill patternType="solid">
          <bgColor rgb="FFFF0000"/>
        </patternFill>
      </fill>
    </dxf>
  </dxfs>
  <tableStyles count="0" defaultTableStyle="TableStyleMedium2" defaultPivotStyle="PivotStyleLight16"/>
  <colors>
    <mruColors>
      <color rgb="00EA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600" b="1" i="0" u="none" strike="noStrike" kern="1200" baseline="0">
                <a:solidFill>
                  <a:schemeClr val="tx1"/>
                </a:solidFill>
                <a:latin typeface="+mn-lt"/>
                <a:ea typeface="+mn-ea"/>
                <a:cs typeface="+mn-cs"/>
              </a:defRPr>
            </a:pPr>
            <a:r>
              <a:rPr lang="en-US" sz="1600" baseline="0"/>
              <a:t>Bode Plot</a:t>
            </a:r>
            <a:endParaRPr lang="en-US" sz="1600" baseline="0"/>
          </a:p>
        </c:rich>
      </c:tx>
      <c:layout>
        <c:manualLayout>
          <c:xMode val="edge"/>
          <c:yMode val="edge"/>
          <c:x val="0.0943541571749534"/>
          <c:y val="0.00399160104986877"/>
        </c:manualLayout>
      </c:layout>
      <c:overlay val="0"/>
    </c:title>
    <c:autoTitleDeleted val="0"/>
    <c:plotArea>
      <c:layout>
        <c:manualLayout>
          <c:layoutTarget val="inner"/>
          <c:xMode val="edge"/>
          <c:yMode val="edge"/>
          <c:x val="0.0905940527204998"/>
          <c:y val="0.0891581080136939"/>
          <c:w val="0.809658767428918"/>
          <c:h val="0.76159168715027"/>
        </c:manualLayout>
      </c:layout>
      <c:scatterChart>
        <c:scatterStyle val="smooth"/>
        <c:varyColors val="0"/>
        <c:ser>
          <c:idx val="0"/>
          <c:order val="0"/>
          <c:tx>
            <c:strRef>
              <c:f>"Gain (dB)"</c:f>
              <c:strCache>
                <c:ptCount val="1"/>
                <c:pt idx="0">
                  <c:v>Gain (dB)</c:v>
                </c:pt>
              </c:strCache>
            </c:strRef>
          </c:tx>
          <c:spPr>
            <a:ln w="28575" cap="rnd" cmpd="sng" algn="ctr">
              <a:solidFill>
                <a:srgbClr val="FF0000"/>
              </a:solidFill>
              <a:prstDash val="solid"/>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Loop_Modeling!$BL$19:$BL$560</c:f>
              <c:numCache>
                <c:formatCode>General</c:formatCode>
                <c:ptCount val="542"/>
                <c:pt idx="0">
                  <c:v>52.402787408511</c:v>
                </c:pt>
                <c:pt idx="1">
                  <c:v>52.2016092309354</c:v>
                </c:pt>
                <c:pt idx="2">
                  <c:v>52.0003760189477</c:v>
                </c:pt>
                <c:pt idx="3">
                  <c:v>51.7990852258814</c:v>
                </c:pt>
                <c:pt idx="4">
                  <c:v>51.59773418953</c:v>
                </c:pt>
                <c:pt idx="5">
                  <c:v>51.3963201271256</c:v>
                </c:pt>
                <c:pt idx="6">
                  <c:v>51.1948401301211</c:v>
                </c:pt>
                <c:pt idx="7">
                  <c:v>50.9932911587697</c:v>
                </c:pt>
                <c:pt idx="8">
                  <c:v>50.7916700364954</c:v>
                </c:pt>
                <c:pt idx="9">
                  <c:v>50.5899734440516</c:v>
                </c:pt>
                <c:pt idx="10">
                  <c:v>50.388197913459</c:v>
                </c:pt>
                <c:pt idx="11">
                  <c:v>50.1863398217203</c:v>
                </c:pt>
                <c:pt idx="12">
                  <c:v>49.9843953843067</c:v>
                </c:pt>
                <c:pt idx="13">
                  <c:v>49.7823606484081</c:v>
                </c:pt>
                <c:pt idx="14">
                  <c:v>49.5802314859483</c:v>
                </c:pt>
                <c:pt idx="15">
                  <c:v>49.3780035863553</c:v>
                </c:pt>
                <c:pt idx="16">
                  <c:v>49.1756724490878</c:v>
                </c:pt>
                <c:pt idx="17">
                  <c:v>48.9732333759115</c:v>
                </c:pt>
                <c:pt idx="18">
                  <c:v>48.7706814629247</c:v>
                </c:pt>
                <c:pt idx="19">
                  <c:v>48.5680115923304</c:v>
                </c:pt>
                <c:pt idx="20">
                  <c:v>48.3652184239545</c:v>
                </c:pt>
                <c:pt idx="21">
                  <c:v>48.1622963865089</c:v>
                </c:pt>
                <c:pt idx="22">
                  <c:v>47.9592396686013</c:v>
                </c:pt>
                <c:pt idx="23">
                  <c:v>47.7560422094923</c:v>
                </c:pt>
                <c:pt idx="24">
                  <c:v>47.5526976896046</c:v>
                </c:pt>
                <c:pt idx="25">
                  <c:v>47.3491995207865</c:v>
                </c:pt>
                <c:pt idx="26">
                  <c:v>47.1455408363374</c:v>
                </c:pt>
                <c:pt idx="27">
                  <c:v>46.9417144808024</c:v>
                </c:pt>
                <c:pt idx="28">
                  <c:v>46.7377129995438</c:v>
                </c:pt>
                <c:pt idx="29">
                  <c:v>46.5335286281037</c:v>
                </c:pt>
                <c:pt idx="30">
                  <c:v>46.3291532813688</c:v>
                </c:pt>
                <c:pt idx="31">
                  <c:v>46.1245785425549</c:v>
                </c:pt>
                <c:pt idx="32">
                  <c:v>45.919795652029</c:v>
                </c:pt>
                <c:pt idx="33">
                  <c:v>45.7147954959909</c:v>
                </c:pt>
                <c:pt idx="34">
                  <c:v>45.5095685950387</c:v>
                </c:pt>
                <c:pt idx="35">
                  <c:v>45.3041050926465</c:v>
                </c:pt>
                <c:pt idx="36">
                  <c:v>45.0983947435859</c:v>
                </c:pt>
                <c:pt idx="37">
                  <c:v>44.8924269023265</c:v>
                </c:pt>
                <c:pt idx="38">
                  <c:v>44.6861905114563</c:v>
                </c:pt>
                <c:pt idx="39">
                  <c:v>44.4796740901652</c:v>
                </c:pt>
                <c:pt idx="40">
                  <c:v>44.2728657228415</c:v>
                </c:pt>
                <c:pt idx="41">
                  <c:v>44.0657530478353</c:v>
                </c:pt>
                <c:pt idx="42">
                  <c:v>43.85832324645</c:v>
                </c:pt>
                <c:pt idx="43">
                  <c:v>43.6505630322257</c:v>
                </c:pt>
                <c:pt idx="44">
                  <c:v>43.4424586405876</c:v>
                </c:pt>
                <c:pt idx="45">
                  <c:v>43.233995818937</c:v>
                </c:pt>
                <c:pt idx="46">
                  <c:v>43.025159817271</c:v>
                </c:pt>
                <c:pt idx="47">
                  <c:v>42.8159353794214</c:v>
                </c:pt>
                <c:pt idx="48">
                  <c:v>42.6063067350133</c:v>
                </c:pt>
                <c:pt idx="49">
                  <c:v>42.3962575922499</c:v>
                </c:pt>
                <c:pt idx="50">
                  <c:v>42.1857711316391</c:v>
                </c:pt>
                <c:pt idx="51">
                  <c:v>41.9748300007822</c:v>
                </c:pt>
                <c:pt idx="52">
                  <c:v>41.7634163103588</c:v>
                </c:pt>
                <c:pt idx="53">
                  <c:v>41.5515116314441</c:v>
                </c:pt>
                <c:pt idx="54">
                  <c:v>41.3390969943066</c:v>
                </c:pt>
                <c:pt idx="55">
                  <c:v>41.1261528888415</c:v>
                </c:pt>
                <c:pt idx="56">
                  <c:v>40.912659266802</c:v>
                </c:pt>
                <c:pt idx="57">
                  <c:v>40.6985955459996</c:v>
                </c:pt>
                <c:pt idx="58">
                  <c:v>40.4839406166507</c:v>
                </c:pt>
                <c:pt idx="59">
                  <c:v>40.2686728500542</c:v>
                </c:pt>
                <c:pt idx="60">
                  <c:v>40.0527701097893</c:v>
                </c:pt>
                <c:pt idx="61">
                  <c:v>39.8362097656308</c:v>
                </c:pt>
                <c:pt idx="62">
                  <c:v>39.6189687103794</c:v>
                </c:pt>
                <c:pt idx="63">
                  <c:v>39.4010233798112</c:v>
                </c:pt>
                <c:pt idx="64">
                  <c:v>39.1823497759494</c:v>
                </c:pt>
                <c:pt idx="65">
                  <c:v>38.9629234938622</c:v>
                </c:pt>
                <c:pt idx="66">
                  <c:v>38.742719752191</c:v>
                </c:pt>
                <c:pt idx="67">
                  <c:v>38.521713427604</c:v>
                </c:pt>
                <c:pt idx="68">
                  <c:v>38.2998790933708</c:v>
                </c:pt>
                <c:pt idx="69">
                  <c:v>38.0771910622398</c:v>
                </c:pt>
                <c:pt idx="70">
                  <c:v>37.8536234337909</c:v>
                </c:pt>
                <c:pt idx="71">
                  <c:v>37.6291501464231</c:v>
                </c:pt>
                <c:pt idx="72">
                  <c:v>37.4037450341158</c:v>
                </c:pt>
                <c:pt idx="73">
                  <c:v>37.1773818880862</c:v>
                </c:pt>
                <c:pt idx="74">
                  <c:v>36.9500345234368</c:v>
                </c:pt>
                <c:pt idx="75">
                  <c:v>36.721676850864</c:v>
                </c:pt>
                <c:pt idx="76">
                  <c:v>36.492282953462</c:v>
                </c:pt>
                <c:pt idx="77">
                  <c:v>36.2618271686254</c:v>
                </c:pt>
                <c:pt idx="78">
                  <c:v>36.0302841750143</c:v>
                </c:pt>
                <c:pt idx="79">
                  <c:v>35.7976290844995</c:v>
                </c:pt>
                <c:pt idx="80">
                  <c:v>35.5638375389651</c:v>
                </c:pt>
                <c:pt idx="81">
                  <c:v>35.3288858117905</c:v>
                </c:pt>
                <c:pt idx="82">
                  <c:v>35.0927509137871</c:v>
                </c:pt>
                <c:pt idx="83">
                  <c:v>34.8554107033027</c:v>
                </c:pt>
                <c:pt idx="84">
                  <c:v>34.6168440001573</c:v>
                </c:pt>
                <c:pt idx="85">
                  <c:v>34.3770307030069</c:v>
                </c:pt>
                <c:pt idx="86">
                  <c:v>34.1359519096777</c:v>
                </c:pt>
                <c:pt idx="87">
                  <c:v>33.8935900399479</c:v>
                </c:pt>
                <c:pt idx="88">
                  <c:v>33.6499289601978</c:v>
                </c:pt>
                <c:pt idx="89">
                  <c:v>33.4049541092854</c:v>
                </c:pt>
                <c:pt idx="90">
                  <c:v>33.1586526249521</c:v>
                </c:pt>
                <c:pt idx="91">
                  <c:v>32.9110134700048</c:v>
                </c:pt>
                <c:pt idx="92">
                  <c:v>32.6620275574746</c:v>
                </c:pt>
                <c:pt idx="93">
                  <c:v>32.4116878739043</c:v>
                </c:pt>
                <c:pt idx="94">
                  <c:v>32.1599895998787</c:v>
                </c:pt>
                <c:pt idx="95">
                  <c:v>31.9069302268811</c:v>
                </c:pt>
                <c:pt idx="96">
                  <c:v>31.6525096695324</c:v>
                </c:pt>
                <c:pt idx="97">
                  <c:v>31.3967303722558</c:v>
                </c:pt>
                <c:pt idx="98">
                  <c:v>31.1395974094034</c:v>
                </c:pt>
                <c:pt idx="99">
                  <c:v>30.8811185778826</c:v>
                </c:pt>
                <c:pt idx="100">
                  <c:v>30.6213044813368</c:v>
                </c:pt>
                <c:pt idx="101">
                  <c:v>30.3601686049593</c:v>
                </c:pt>
                <c:pt idx="102">
                  <c:v>30.0977273800529</c:v>
                </c:pt>
                <c:pt idx="103">
                  <c:v>29.8340002374966</c:v>
                </c:pt>
                <c:pt idx="104">
                  <c:v>29.5690096493354</c:v>
                </c:pt>
                <c:pt idx="105">
                  <c:v>29.3027811577797</c:v>
                </c:pt>
                <c:pt idx="106">
                  <c:v>29.0353433909749</c:v>
                </c:pt>
                <c:pt idx="107">
                  <c:v>28.7667280649881</c:v>
                </c:pt>
                <c:pt idx="108">
                  <c:v>28.4969699715531</c:v>
                </c:pt>
                <c:pt idx="109">
                  <c:v>28.2261069512182</c:v>
                </c:pt>
                <c:pt idx="110">
                  <c:v>27.9541798516421</c:v>
                </c:pt>
                <c:pt idx="111">
                  <c:v>27.6812324708992</c:v>
                </c:pt>
                <c:pt idx="112">
                  <c:v>27.407311485771</c:v>
                </c:pt>
                <c:pt idx="113">
                  <c:v>27.1324663651112</c:v>
                </c:pt>
                <c:pt idx="114">
                  <c:v>26.8567492684979</c:v>
                </c:pt>
                <c:pt idx="115">
                  <c:v>26.5802149304928</c:v>
                </c:pt>
                <c:pt idx="116">
                  <c:v>26.302920530954</c:v>
                </c:pt>
                <c:pt idx="117">
                  <c:v>26.0249255519482</c:v>
                </c:pt>
                <c:pt idx="118">
                  <c:v>25.7462916219271</c:v>
                </c:pt>
                <c:pt idx="119">
                  <c:v>25.4670823479261</c:v>
                </c:pt>
                <c:pt idx="120">
                  <c:v>25.1873631366445</c:v>
                </c:pt>
                <c:pt idx="121">
                  <c:v>24.907201005353</c:v>
                </c:pt>
                <c:pt idx="122">
                  <c:v>24.6266643836571</c:v>
                </c:pt>
                <c:pt idx="123">
                  <c:v>24.3458229072149</c:v>
                </c:pt>
                <c:pt idx="124">
                  <c:v>24.0647472045744</c:v>
                </c:pt>
                <c:pt idx="125">
                  <c:v>23.7835086783475</c:v>
                </c:pt>
                <c:pt idx="126">
                  <c:v>23.5021792819849</c:v>
                </c:pt>
                <c:pt idx="127">
                  <c:v>23.2208312934478</c:v>
                </c:pt>
                <c:pt idx="128">
                  <c:v>22.939537087098</c:v>
                </c:pt>
                <c:pt idx="129">
                  <c:v>22.6583689051436</c:v>
                </c:pt>
                <c:pt idx="130">
                  <c:v>22.3773986299797</c:v>
                </c:pt>
                <c:pt idx="131">
                  <c:v>22.0966975587561</c:v>
                </c:pt>
                <c:pt idx="132">
                  <c:v>21.816336181489</c:v>
                </c:pt>
                <c:pt idx="133">
                  <c:v>21.5363839640047</c:v>
                </c:pt>
                <c:pt idx="134">
                  <c:v>21.2569091369686</c:v>
                </c:pt>
                <c:pt idx="135">
                  <c:v>20.9779784922002</c:v>
                </c:pt>
                <c:pt idx="136">
                  <c:v>20.6996571874247</c:v>
                </c:pt>
                <c:pt idx="137">
                  <c:v>20.42200856054</c:v>
                </c:pt>
                <c:pt idx="138">
                  <c:v>20.1450939544066</c:v>
                </c:pt>
                <c:pt idx="139">
                  <c:v>19.8689725530805</c:v>
                </c:pt>
                <c:pt idx="140">
                  <c:v>19.593701230325</c:v>
                </c:pt>
                <c:pt idx="141">
                  <c:v>19.3193344111321</c:v>
                </c:pt>
                <c:pt idx="142">
                  <c:v>19.0459239468854</c:v>
                </c:pt>
                <c:pt idx="143">
                  <c:v>18.7735190046869</c:v>
                </c:pt>
                <c:pt idx="144">
                  <c:v>18.5021659712557</c:v>
                </c:pt>
                <c:pt idx="145">
                  <c:v>18.231908371694</c:v>
                </c:pt>
                <c:pt idx="146">
                  <c:v>17.9627868032957</c:v>
                </c:pt>
                <c:pt idx="147">
                  <c:v>17.6948388844591</c:v>
                </c:pt>
                <c:pt idx="148">
                  <c:v>17.428099218647</c:v>
                </c:pt>
                <c:pt idx="149">
                  <c:v>17.1625993732232</c:v>
                </c:pt>
                <c:pt idx="150">
                  <c:v>16.8983678728874</c:v>
                </c:pt>
                <c:pt idx="151">
                  <c:v>16.6354302073231</c:v>
                </c:pt>
                <c:pt idx="152">
                  <c:v>16.3738088525732</c:v>
                </c:pt>
                <c:pt idx="153">
                  <c:v>16.1135233055719</c:v>
                </c:pt>
                <c:pt idx="154">
                  <c:v>15.8545901311712</c:v>
                </c:pt>
                <c:pt idx="155">
                  <c:v>15.5970230209319</c:v>
                </c:pt>
                <c:pt idx="156">
                  <c:v>15.3408328628821</c:v>
                </c:pt>
                <c:pt idx="157">
                  <c:v>15.0860278213934</c:v>
                </c:pt>
                <c:pt idx="158">
                  <c:v>14.8326134262805</c:v>
                </c:pt>
                <c:pt idx="159">
                  <c:v>14.5805926701993</c:v>
                </c:pt>
                <c:pt idx="160">
                  <c:v>14.3299661133972</c:v>
                </c:pt>
                <c:pt idx="161">
                  <c:v>14.0807319948552</c:v>
                </c:pt>
                <c:pt idx="162">
                  <c:v>13.8328863488672</c:v>
                </c:pt>
                <c:pt idx="163">
                  <c:v>13.5864231261027</c:v>
                </c:pt>
                <c:pt idx="164">
                  <c:v>13.3413343182281</c:v>
                </c:pt>
                <c:pt idx="165">
                  <c:v>13.0976100851768</c:v>
                </c:pt>
                <c:pt idx="166">
                  <c:v>12.8552388842036</c:v>
                </c:pt>
                <c:pt idx="167">
                  <c:v>12.6142075998922</c:v>
                </c:pt>
                <c:pt idx="168">
                  <c:v>12.3745016743364</c:v>
                </c:pt>
                <c:pt idx="169">
                  <c:v>12.1361052367632</c:v>
                </c:pt>
                <c:pt idx="170">
                  <c:v>11.8990012319242</c:v>
                </c:pt>
                <c:pt idx="171">
                  <c:v>11.6631715466396</c:v>
                </c:pt>
                <c:pt idx="172">
                  <c:v>11.428597133935</c:v>
                </c:pt>
                <c:pt idx="173">
                  <c:v>11.1952581342786</c:v>
                </c:pt>
                <c:pt idx="174">
                  <c:v>10.9631339934809</c:v>
                </c:pt>
                <c:pt idx="175">
                  <c:v>10.7322035768842</c:v>
                </c:pt>
                <c:pt idx="176">
                  <c:v>10.5024452795245</c:v>
                </c:pt>
                <c:pt idx="177">
                  <c:v>10.2738371320081</c:v>
                </c:pt>
                <c:pt idx="178">
                  <c:v>10.0463569018996</c:v>
                </c:pt>
                <c:pt idx="179">
                  <c:v>9.81998219046691</c:v>
                </c:pt>
                <c:pt idx="180">
                  <c:v>9.59469052468262</c:v>
                </c:pt>
                <c:pt idx="181">
                  <c:v>9.37045944442203</c:v>
                </c:pt>
                <c:pt idx="182">
                  <c:v>9.14726658484215</c:v>
                </c:pt>
                <c:pt idx="183">
                  <c:v>8.92508975396155</c:v>
                </c:pt>
                <c:pt idx="184">
                  <c:v>8.70390700549942</c:v>
                </c:pt>
                <c:pt idx="185">
                  <c:v>8.48369670705819</c:v>
                </c:pt>
                <c:pt idx="186">
                  <c:v>8.26443760376193</c:v>
                </c:pt>
                <c:pt idx="187">
                  <c:v>8.04610887748794</c:v>
                </c:pt>
                <c:pt idx="188">
                  <c:v>7.82869020184602</c:v>
                </c:pt>
                <c:pt idx="189">
                  <c:v>7.61216179307747</c:v>
                </c:pt>
                <c:pt idx="190">
                  <c:v>7.39650445705871</c:v>
                </c:pt>
                <c:pt idx="191">
                  <c:v>7.18169963260452</c:v>
                </c:pt>
                <c:pt idx="192">
                  <c:v>6.96772943127508</c:v>
                </c:pt>
                <c:pt idx="193">
                  <c:v>6.75457667389224</c:v>
                </c:pt>
                <c:pt idx="194">
                  <c:v>6.54222492397853</c:v>
                </c:pt>
                <c:pt idx="195">
                  <c:v>6.3306585183283</c:v>
                </c:pt>
                <c:pt idx="196">
                  <c:v>6.11986259492286</c:v>
                </c:pt>
                <c:pt idx="197">
                  <c:v>5.90982311839706</c:v>
                </c:pt>
                <c:pt idx="198">
                  <c:v>5.70052690325995</c:v>
                </c:pt>
                <c:pt idx="199">
                  <c:v>5.49196163507033</c:v>
                </c:pt>
                <c:pt idx="200">
                  <c:v>5.28411588975547</c:v>
                </c:pt>
                <c:pt idx="201">
                  <c:v>5.07697915126131</c:v>
                </c:pt>
                <c:pt idx="202">
                  <c:v>4.87054182770763</c:v>
                </c:pt>
                <c:pt idx="203">
                  <c:v>4.6647952662164</c:v>
                </c:pt>
                <c:pt idx="204">
                  <c:v>4.45973176657179</c:v>
                </c:pt>
                <c:pt idx="205">
                  <c:v>4.25534459385932</c:v>
                </c:pt>
                <c:pt idx="206">
                  <c:v>4.0516279902227</c:v>
                </c:pt>
                <c:pt idx="207">
                  <c:v>3.84857718586514</c:v>
                </c:pt>
                <c:pt idx="208">
                  <c:v>3.64618840941177</c:v>
                </c:pt>
                <c:pt idx="209">
                  <c:v>3.44445889773934</c:v>
                </c:pt>
                <c:pt idx="210">
                  <c:v>3.24338690536801</c:v>
                </c:pt>
                <c:pt idx="211">
                  <c:v>3.04297171349625</c:v>
                </c:pt>
                <c:pt idx="212">
                  <c:v>2.84321363875431</c:v>
                </c:pt>
                <c:pt idx="213">
                  <c:v>2.64411404173395</c:v>
                </c:pt>
                <c:pt idx="214">
                  <c:v>2.44567533534532</c:v>
                </c:pt>
                <c:pt idx="215">
                  <c:v>2.24790099303624</c:v>
                </c:pt>
                <c:pt idx="216">
                  <c:v>2.05079555690311</c:v>
                </c:pt>
                <c:pt idx="217">
                  <c:v>1.85436464570286</c:v>
                </c:pt>
                <c:pt idx="218">
                  <c:v>1.65861496277265</c:v>
                </c:pt>
                <c:pt idx="219">
                  <c:v>1.46355430384285</c:v>
                </c:pt>
                <c:pt idx="220">
                  <c:v>1.26919156472625</c:v>
                </c:pt>
                <c:pt idx="221">
                  <c:v>1.07553674884271</c:v>
                </c:pt>
                <c:pt idx="222">
                  <c:v>0.882600974539104</c:v>
                </c:pt>
                <c:pt idx="223">
                  <c:v>0.690396482139967</c:v>
                </c:pt>
                <c:pt idx="224">
                  <c:v>0.498936640657972</c:v>
                </c:pt>
                <c:pt idx="225">
                  <c:v>0.308235954079658</c:v>
                </c:pt>
                <c:pt idx="226">
                  <c:v>0.118310067127236</c:v>
                </c:pt>
                <c:pt idx="227">
                  <c:v>-0.0708242296167131</c:v>
                </c:pt>
                <c:pt idx="228">
                  <c:v>-0.259148995345746</c:v>
                </c:pt>
                <c:pt idx="229">
                  <c:v>-0.446645135566918</c:v>
                </c:pt>
                <c:pt idx="230">
                  <c:v>-0.633292399693331</c:v>
                </c:pt>
                <c:pt idx="231">
                  <c:v>-0.819069379856529</c:v>
                </c:pt>
                <c:pt idx="232">
                  <c:v>-1.00395351112224</c:v>
                </c:pt>
                <c:pt idx="233">
                  <c:v>-1.18792107330217</c:v>
                </c:pt>
                <c:pt idx="234">
                  <c:v>-1.37094719457053</c:v>
                </c:pt>
                <c:pt idx="235">
                  <c:v>-1.55300585710781</c:v>
                </c:pt>
                <c:pt idx="236">
                  <c:v>-1.73406990500576</c:v>
                </c:pt>
                <c:pt idx="237">
                  <c:v>-1.91411105468083</c:v>
                </c:pt>
                <c:pt idx="238">
                  <c:v>-2.0930999080556</c:v>
                </c:pt>
                <c:pt idx="239">
                  <c:v>-2.27100596877812</c:v>
                </c:pt>
                <c:pt idx="240">
                  <c:v>-2.44779766175976</c:v>
                </c:pt>
                <c:pt idx="241">
                  <c:v>-2.62344235632003</c:v>
                </c:pt>
                <c:pt idx="242">
                  <c:v>-2.79790639323563</c:v>
                </c:pt>
                <c:pt idx="243">
                  <c:v>-2.97115511599522</c:v>
                </c:pt>
                <c:pt idx="244">
                  <c:v>-3.14315290656667</c:v>
                </c:pt>
                <c:pt idx="245">
                  <c:v>-3.31386322598346</c:v>
                </c:pt>
                <c:pt idx="246">
                  <c:v>-3.48324866005748</c:v>
                </c:pt>
                <c:pt idx="247">
                  <c:v>-3.65127097052155</c:v>
                </c:pt>
                <c:pt idx="248">
                  <c:v>-3.81789115189617</c:v>
                </c:pt>
                <c:pt idx="249">
                  <c:v>-3.98306949436858</c:v>
                </c:pt>
                <c:pt idx="250">
                  <c:v>-4.14676565295446</c:v>
                </c:pt>
                <c:pt idx="251">
                  <c:v>-4.30893872319769</c:v>
                </c:pt>
                <c:pt idx="252">
                  <c:v>-4.46954732364015</c:v>
                </c:pt>
                <c:pt idx="253">
                  <c:v>-4.62854968526668</c:v>
                </c:pt>
                <c:pt idx="254">
                  <c:v>-4.78590374810173</c:v>
                </c:pt>
                <c:pt idx="255">
                  <c:v>-4.94156726509357</c:v>
                </c:pt>
                <c:pt idx="256">
                  <c:v>-5.09549791338702</c:v>
                </c:pt>
                <c:pt idx="257">
                  <c:v>-5.24765341303342</c:v>
                </c:pt>
                <c:pt idx="258">
                  <c:v>-5.39799165314067</c:v>
                </c:pt>
                <c:pt idx="259">
                  <c:v>-5.54647082540695</c:v>
                </c:pt>
                <c:pt idx="260">
                  <c:v>-5.69304956492256</c:v>
                </c:pt>
                <c:pt idx="261">
                  <c:v>-5.83768709805844</c:v>
                </c:pt>
                <c:pt idx="262">
                  <c:v>-5.98034339718978</c:v>
                </c:pt>
                <c:pt idx="263">
                  <c:v>-6.12097934193179</c:v>
                </c:pt>
                <c:pt idx="264">
                  <c:v>-6.2595568864851</c:v>
                </c:pt>
                <c:pt idx="265">
                  <c:v>-6.39603923261186</c:v>
                </c:pt>
                <c:pt idx="266">
                  <c:v>-6.53039100768057</c:v>
                </c:pt>
                <c:pt idx="267">
                  <c:v>-6.66257844713742</c:v>
                </c:pt>
                <c:pt idx="268">
                  <c:v>-6.79256958067733</c:v>
                </c:pt>
                <c:pt idx="269">
                  <c:v>-6.92033442130947</c:v>
                </c:pt>
                <c:pt idx="270">
                  <c:v>-7.04584515642996</c:v>
                </c:pt>
                <c:pt idx="271">
                  <c:v>-7.1690763399417</c:v>
                </c:pt>
                <c:pt idx="272">
                  <c:v>-7.29000508438611</c:v>
                </c:pt>
                <c:pt idx="273">
                  <c:v>-7.40861125198874</c:v>
                </c:pt>
                <c:pt idx="274">
                  <c:v>-7.52487764345909</c:v>
                </c:pt>
                <c:pt idx="275">
                  <c:v>-7.63879018333527</c:v>
                </c:pt>
                <c:pt idx="276">
                  <c:v>-7.75033810062191</c:v>
                </c:pt>
                <c:pt idx="277">
                  <c:v>-7.85951410343652</c:v>
                </c:pt>
                <c:pt idx="278">
                  <c:v>-7.96631454636282</c:v>
                </c:pt>
                <c:pt idx="279">
                  <c:v>-8.07073958919517</c:v>
                </c:pt>
                <c:pt idx="280">
                  <c:v>-8.1727933457704</c:v>
                </c:pt>
                <c:pt idx="281">
                  <c:v>-8.2724840215945</c:v>
                </c:pt>
                <c:pt idx="282">
                  <c:v>-8.36982403900904</c:v>
                </c:pt>
                <c:pt idx="283">
                  <c:v>-8.46483014868555</c:v>
                </c:pt>
                <c:pt idx="284">
                  <c:v>-8.55752352629793</c:v>
                </c:pt>
                <c:pt idx="285">
                  <c:v>-8.64792985329762</c:v>
                </c:pt>
                <c:pt idx="286">
                  <c:v>-8.73607938080359</c:v>
                </c:pt>
                <c:pt idx="287">
                  <c:v>-8.82200697572244</c:v>
                </c:pt>
                <c:pt idx="288">
                  <c:v>-8.90575214832588</c:v>
                </c:pt>
                <c:pt idx="289">
                  <c:v>-8.98735906063805</c:v>
                </c:pt>
                <c:pt idx="290">
                  <c:v>-9.06687651512075</c:v>
                </c:pt>
                <c:pt idx="291">
                  <c:v>-9.14435792328607</c:v>
                </c:pt>
                <c:pt idx="292">
                  <c:v>-9.21986125401909</c:v>
                </c:pt>
                <c:pt idx="293">
                  <c:v>-9.29344896154433</c:v>
                </c:pt>
                <c:pt idx="294">
                  <c:v>-9.36518789313132</c:v>
                </c:pt>
                <c:pt idx="295">
                  <c:v>-9.43514917679547</c:v>
                </c:pt>
                <c:pt idx="296">
                  <c:v>-9.50340808940343</c:v>
                </c:pt>
                <c:pt idx="297">
                  <c:v>-9.57004390575703</c:v>
                </c:pt>
                <c:pt idx="298">
                  <c:v>-9.63513972937274</c:v>
                </c:pt>
                <c:pt idx="299">
                  <c:v>-9.69878230582342</c:v>
                </c:pt>
                <c:pt idx="300">
                  <c:v>-9.761061819644</c:v>
                </c:pt>
                <c:pt idx="301">
                  <c:v>-9.82207167592293</c:v>
                </c:pt>
                <c:pt idx="302">
                  <c:v>-9.88190826781965</c:v>
                </c:pt>
                <c:pt idx="303">
                  <c:v>-9.94067073134363</c:v>
                </c:pt>
                <c:pt idx="304">
                  <c:v>-9.9984606888121</c:v>
                </c:pt>
                <c:pt idx="305">
                  <c:v>-10.0553819824763</c:v>
                </c:pt>
                <c:pt idx="306">
                  <c:v>-10.1115403998489</c:v>
                </c:pt>
                <c:pt idx="307">
                  <c:v>-10.1670433923062</c:v>
                </c:pt>
                <c:pt idx="308">
                  <c:v>-10.2219997885494</c:v>
                </c:pt>
                <c:pt idx="309">
                  <c:v>-10.2765195045098</c:v>
                </c:pt>
                <c:pt idx="310">
                  <c:v>-10.3307132512636</c:v>
                </c:pt>
                <c:pt idx="311">
                  <c:v>-10.3846922424937</c:v>
                </c:pt>
                <c:pt idx="312">
                  <c:v>-10.4385679029828</c:v>
                </c:pt>
                <c:pt idx="313">
                  <c:v>-10.4924515795607</c:v>
                </c:pt>
                <c:pt idx="314">
                  <c:v>-10.5464542558643</c:v>
                </c:pt>
                <c:pt idx="315">
                  <c:v>-10.6006862721768</c:v>
                </c:pt>
                <c:pt idx="316">
                  <c:v>-10.6552570515306</c:v>
                </c:pt>
                <c:pt idx="317">
                  <c:v>-10.7102748331611</c:v>
                </c:pt>
                <c:pt idx="318">
                  <c:v>-10.7658464142939</c:v>
                </c:pt>
                <c:pt idx="319">
                  <c:v>-10.8220769011587</c:v>
                </c:pt>
                <c:pt idx="320">
                  <c:v>-10.8790694700106</c:v>
                </c:pt>
                <c:pt idx="321">
                  <c:v>-10.9369251388487</c:v>
                </c:pt>
                <c:pt idx="322">
                  <c:v>-10.9957425504212</c:v>
                </c:pt>
                <c:pt idx="323">
                  <c:v>-11.0556177670205</c:v>
                </c:pt>
                <c:pt idx="324">
                  <c:v>-11.116644077482</c:v>
                </c:pt>
                <c:pt idx="325">
                  <c:v>-11.1789118167252</c:v>
                </c:pt>
                <c:pt idx="326">
                  <c:v>-11.2425081981031</c:v>
                </c:pt>
                <c:pt idx="327">
                  <c:v>-11.3075171587619</c:v>
                </c:pt>
                <c:pt idx="328">
                  <c:v>-11.3740192181571</c:v>
                </c:pt>
                <c:pt idx="329">
                  <c:v>-11.442091349822</c:v>
                </c:pt>
                <c:pt idx="330">
                  <c:v>-11.5118068664401</c:v>
                </c:pt>
                <c:pt idx="331">
                  <c:v>-11.5832353182364</c:v>
                </c:pt>
                <c:pt idx="332">
                  <c:v>-11.6564424046731</c:v>
                </c:pt>
                <c:pt idx="333">
                  <c:v>-11.7314898993969</c:v>
                </c:pt>
                <c:pt idx="334">
                  <c:v>-11.8084355883706</c:v>
                </c:pt>
                <c:pt idx="335">
                  <c:v>-11.8873332210885</c:v>
                </c:pt>
                <c:pt idx="336">
                  <c:v>-11.9682324747559</c:v>
                </c:pt>
                <c:pt idx="337">
                  <c:v>-12.0511789312869</c:v>
                </c:pt>
                <c:pt idx="338">
                  <c:v>-12.1362140669516</c:v>
                </c:pt>
                <c:pt idx="339">
                  <c:v>-12.2233752544756</c:v>
                </c:pt>
                <c:pt idx="340">
                  <c:v>-12.3126957773659</c:v>
                </c:pt>
                <c:pt idx="341">
                  <c:v>-12.4042048562057</c:v>
                </c:pt>
                <c:pt idx="342">
                  <c:v>-12.497927686628</c:v>
                </c:pt>
                <c:pt idx="343">
                  <c:v>-12.5938854886379</c:v>
                </c:pt>
                <c:pt idx="344">
                  <c:v>-12.6920955669159</c:v>
                </c:pt>
                <c:pt idx="345">
                  <c:v>-12.7925713816939</c:v>
                </c:pt>
                <c:pt idx="346">
                  <c:v>-12.8953226297509</c:v>
                </c:pt>
                <c:pt idx="347">
                  <c:v>-13.0003553350327</c:v>
                </c:pt>
                <c:pt idx="348">
                  <c:v>-13.1076719483591</c:v>
                </c:pt>
                <c:pt idx="349">
                  <c:v>-13.217271455634</c:v>
                </c:pt>
                <c:pt idx="350">
                  <c:v>-13.3291494939416</c:v>
                </c:pt>
                <c:pt idx="351">
                  <c:v>-13.4432984748658</c:v>
                </c:pt>
                <c:pt idx="352">
                  <c:v>-13.5597077143449</c:v>
                </c:pt>
                <c:pt idx="353">
                  <c:v>-13.6783635683357</c:v>
                </c:pt>
                <c:pt idx="354">
                  <c:v>-13.7992495735461</c:v>
                </c:pt>
                <c:pt idx="355">
                  <c:v>-13.9223465924675</c:v>
                </c:pt>
                <c:pt idx="356">
                  <c:v>-14.0476329619369</c:v>
                </c:pt>
                <c:pt idx="357">
                  <c:v>-14.1750846444444</c:v>
                </c:pt>
                <c:pt idx="358">
                  <c:v>-14.3046753814075</c:v>
                </c:pt>
                <c:pt idx="359">
                  <c:v>-14.4363768476434</c:v>
                </c:pt>
                <c:pt idx="360">
                  <c:v>-14.570158806281</c:v>
                </c:pt>
                <c:pt idx="361">
                  <c:v>-14.7059892633801</c:v>
                </c:pt>
                <c:pt idx="362">
                  <c:v>-14.8438346215504</c:v>
                </c:pt>
                <c:pt idx="363">
                  <c:v>-14.9836598318966</c:v>
                </c:pt>
                <c:pt idx="364">
                  <c:v>-15.1254285436545</c:v>
                </c:pt>
                <c:pt idx="365">
                  <c:v>-15.2691032509238</c:v>
                </c:pt>
                <c:pt idx="366">
                  <c:v>-15.4146454359519</c:v>
                </c:pt>
                <c:pt idx="367">
                  <c:v>-15.5620157084691</c:v>
                </c:pt>
                <c:pt idx="368">
                  <c:v>-15.7111739406284</c:v>
                </c:pt>
                <c:pt idx="369">
                  <c:v>-15.8620793971541</c:v>
                </c:pt>
                <c:pt idx="370">
                  <c:v>-16.0146908603604</c:v>
                </c:pt>
                <c:pt idx="371">
                  <c:v>-16.1689667497461</c:v>
                </c:pt>
                <c:pt idx="372">
                  <c:v>-16.3248652359339</c:v>
                </c:pt>
                <c:pt idx="373">
                  <c:v>-16.4823443487664</c:v>
                </c:pt>
                <c:pt idx="374">
                  <c:v>-16.6413620794244</c:v>
                </c:pt>
                <c:pt idx="375">
                  <c:v>-16.8018764764767</c:v>
                </c:pt>
                <c:pt idx="376">
                  <c:v>-16.963845735821</c:v>
                </c:pt>
                <c:pt idx="377">
                  <c:v>-17.1272282845095</c:v>
                </c:pt>
                <c:pt idx="378">
                  <c:v>-17.2919828584987</c:v>
                </c:pt>
                <c:pt idx="379">
                  <c:v>-17.458068574393</c:v>
                </c:pt>
                <c:pt idx="380">
                  <c:v>-17.625444995286</c:v>
                </c:pt>
                <c:pt idx="381">
                  <c:v>-17.794072190831</c:v>
                </c:pt>
                <c:pt idx="382">
                  <c:v>-17.9639107916979</c:v>
                </c:pt>
                <c:pt idx="383">
                  <c:v>-18.1349220385924</c:v>
                </c:pt>
                <c:pt idx="384">
                  <c:v>-18.3070678260374</c:v>
                </c:pt>
                <c:pt idx="385">
                  <c:v>-18.4803107411238</c:v>
                </c:pt>
                <c:pt idx="386">
                  <c:v>-18.6546140974568</c:v>
                </c:pt>
                <c:pt idx="387">
                  <c:v>-18.8299419645297</c:v>
                </c:pt>
                <c:pt idx="388">
                  <c:v>-19.006259192761</c:v>
                </c:pt>
                <c:pt idx="389">
                  <c:v>-19.1835314344437</c:v>
                </c:pt>
                <c:pt idx="390">
                  <c:v>-19.3617251608455</c:v>
                </c:pt>
                <c:pt idx="391">
                  <c:v>-19.5408076757088</c:v>
                </c:pt>
                <c:pt idx="392">
                  <c:v>-19.7207471253905</c:v>
                </c:pt>
                <c:pt idx="393">
                  <c:v>-19.9015125058835</c:v>
                </c:pt>
                <c:pt idx="394">
                  <c:v>-20.0830736669517</c:v>
                </c:pt>
                <c:pt idx="395">
                  <c:v>-20.2654013136094</c:v>
                </c:pt>
                <c:pt idx="396">
                  <c:v>-20.4484670051639</c:v>
                </c:pt>
                <c:pt idx="397">
                  <c:v>-20.6322431520371</c:v>
                </c:pt>
                <c:pt idx="398">
                  <c:v>-20.8167030105705</c:v>
                </c:pt>
                <c:pt idx="399">
                  <c:v>-21.0018206760088</c:v>
                </c:pt>
                <c:pt idx="400">
                  <c:v>-21.187571073851</c:v>
                </c:pt>
                <c:pt idx="401">
                  <c:v>-21.3739299497446</c:v>
                </c:pt>
                <c:pt idx="402">
                  <c:v>-21.5608738580904</c:v>
                </c:pt>
                <c:pt idx="403">
                  <c:v>-21.7483801495187</c:v>
                </c:pt>
                <c:pt idx="404">
                  <c:v>-21.9364269573812</c:v>
                </c:pt>
                <c:pt idx="405">
                  <c:v>-22.1249931834</c:v>
                </c:pt>
                <c:pt idx="406">
                  <c:v>-22.3140584826032</c:v>
                </c:pt>
                <c:pt idx="407">
                  <c:v>-22.5036032476654</c:v>
                </c:pt>
                <c:pt idx="408">
                  <c:v>-22.6936085927659</c:v>
                </c:pt>
                <c:pt idx="409">
                  <c:v>-22.8840563370692</c:v>
                </c:pt>
                <c:pt idx="410">
                  <c:v>-23.074928987919</c:v>
                </c:pt>
                <c:pt idx="411">
                  <c:v>-23.2662097238349</c:v>
                </c:pt>
                <c:pt idx="412">
                  <c:v>-23.4578823773925</c:v>
                </c:pt>
                <c:pt idx="413">
                  <c:v>-23.649931418056</c:v>
                </c:pt>
                <c:pt idx="414">
                  <c:v>-23.8423419350321</c:v>
                </c:pt>
                <c:pt idx="415">
                  <c:v>-24.0350996202038</c:v>
                </c:pt>
                <c:pt idx="416">
                  <c:v>-24.2281907511973</c:v>
                </c:pt>
                <c:pt idx="417">
                  <c:v>-24.4216021746315</c:v>
                </c:pt>
                <c:pt idx="418">
                  <c:v>-24.6153212895906</c:v>
                </c:pt>
                <c:pt idx="419">
                  <c:v>-24.8093360313622</c:v>
                </c:pt>
                <c:pt idx="420">
                  <c:v>-25.0036348554704</c:v>
                </c:pt>
                <c:pt idx="421">
                  <c:v>-25.1982067220367</c:v>
                </c:pt>
                <c:pt idx="422">
                  <c:v>-25.3930410804941</c:v>
                </c:pt>
                <c:pt idx="423">
                  <c:v>-25.5881278546753</c:v>
                </c:pt>
                <c:pt idx="424">
                  <c:v>-25.7834574282979</c:v>
                </c:pt>
                <c:pt idx="425">
                  <c:v>-25.9790206308595</c:v>
                </c:pt>
                <c:pt idx="426">
                  <c:v>-26.1748087239596</c:v>
                </c:pt>
                <c:pt idx="427">
                  <c:v>-26.3708133880581</c:v>
                </c:pt>
                <c:pt idx="428">
                  <c:v>-26.5670267096807</c:v>
                </c:pt>
                <c:pt idx="429">
                  <c:v>-26.7634411690792</c:v>
                </c:pt>
                <c:pt idx="430">
                  <c:v>-26.9600496283514</c:v>
                </c:pt>
                <c:pt idx="431">
                  <c:v>-27.1568453200254</c:v>
                </c:pt>
                <c:pt idx="432">
                  <c:v>-27.3538218361137</c:v>
                </c:pt>
                <c:pt idx="433">
                  <c:v>-27.5509731176341</c:v>
                </c:pt>
                <c:pt idx="434">
                  <c:v>-27.7482934446037</c:v>
                </c:pt>
                <c:pt idx="435">
                  <c:v>-27.9457774265013</c:v>
                </c:pt>
                <c:pt idx="436">
                  <c:v>-28.1434199932011</c:v>
                </c:pt>
                <c:pt idx="437">
                  <c:v>-28.3412163863742</c:v>
                </c:pt>
                <c:pt idx="438">
                  <c:v>-28.5391621513565</c:v>
                </c:pt>
                <c:pt idx="439">
                  <c:v>-28.7372531294812</c:v>
                </c:pt>
                <c:pt idx="440">
                  <c:v>-28.9354854508722</c:v>
                </c:pt>
                <c:pt idx="441">
                  <c:v>-29.1338555276968</c:v>
                </c:pt>
                <c:pt idx="442">
                  <c:v>-29.3323600478737</c:v>
                </c:pt>
                <c:pt idx="443">
                  <c:v>-29.5309959692339</c:v>
                </c:pt>
                <c:pt idx="444">
                  <c:v>-29.7297605141296</c:v>
                </c:pt>
                <c:pt idx="445">
                  <c:v>-29.9286511644913</c:v>
                </c:pt>
                <c:pt idx="446">
                  <c:v>-30.1276656573259</c:v>
                </c:pt>
                <c:pt idx="447">
                  <c:v>-30.3268019806562</c:v>
                </c:pt>
                <c:pt idx="448">
                  <c:v>-30.5260583698976</c:v>
                </c:pt>
                <c:pt idx="449">
                  <c:v>-30.7254333046686</c:v>
                </c:pt>
                <c:pt idx="450">
                  <c:v>-30.9249255060344</c:v>
                </c:pt>
                <c:pt idx="451">
                  <c:v>-31.1245339341806</c:v>
                </c:pt>
                <c:pt idx="452">
                  <c:v>-31.3242577865141</c:v>
                </c:pt>
                <c:pt idx="453">
                  <c:v>-31.524096496192</c:v>
                </c:pt>
                <c:pt idx="454">
                  <c:v>-31.7240497310753</c:v>
                </c:pt>
                <c:pt idx="455">
                  <c:v>-31.9241173931068</c:v>
                </c:pt>
                <c:pt idx="456">
                  <c:v>-32.1242996181128</c:v>
                </c:pt>
                <c:pt idx="457">
                  <c:v>-32.3245967760283</c:v>
                </c:pt>
                <c:pt idx="458">
                  <c:v>-32.5250094715455</c:v>
                </c:pt>
                <c:pt idx="459">
                  <c:v>-32.7255385451858</c:v>
                </c:pt>
                <c:pt idx="460">
                  <c:v>-32.9261850747972</c:v>
                </c:pt>
                <c:pt idx="461">
                  <c:v>-33.1269503774745</c:v>
                </c:pt>
                <c:pt idx="462">
                  <c:v>-33.3278360119084</c:v>
                </c:pt>
                <c:pt idx="463">
                  <c:v>-33.528843781162</c:v>
                </c:pt>
                <c:pt idx="464">
                  <c:v>-33.7299757358745</c:v>
                </c:pt>
                <c:pt idx="465">
                  <c:v>-33.9312341779011</c:v>
                </c:pt>
                <c:pt idx="466">
                  <c:v>-34.1326216643816</c:v>
                </c:pt>
                <c:pt idx="467">
                  <c:v>-34.3341410122488</c:v>
                </c:pt>
                <c:pt idx="468">
                  <c:v>-34.5357953031732</c:v>
                </c:pt>
                <c:pt idx="469">
                  <c:v>-34.7375878889501</c:v>
                </c:pt>
                <c:pt idx="470">
                  <c:v>-34.9395223973287</c:v>
                </c:pt>
                <c:pt idx="471">
                  <c:v>-35.1416027382887</c:v>
                </c:pt>
                <c:pt idx="472">
                  <c:v>-35.343833110764</c:v>
                </c:pt>
                <c:pt idx="473">
                  <c:v>-35.5462180098176</c:v>
                </c:pt>
                <c:pt idx="474">
                  <c:v>-35.7487622342703</c:v>
                </c:pt>
                <c:pt idx="475">
                  <c:v>-35.9514708947812</c:v>
                </c:pt>
                <c:pt idx="476">
                  <c:v>-36.1543494223865</c:v>
                </c:pt>
                <c:pt idx="477">
                  <c:v>-36.3574035774939</c:v>
                </c:pt>
                <c:pt idx="478">
                  <c:v>-36.5606394593328</c:v>
                </c:pt>
                <c:pt idx="479">
                  <c:v>-36.7640635158632</c:v>
                </c:pt>
                <c:pt idx="480">
                  <c:v>-36.9676825541368</c:v>
                </c:pt>
                <c:pt idx="481">
                  <c:v>-37.1715037511127</c:v>
                </c:pt>
                <c:pt idx="482">
                  <c:v>-37.3755346649221</c:v>
                </c:pt>
                <c:pt idx="483">
                  <c:v>-37.5797832465761</c:v>
                </c:pt>
                <c:pt idx="484">
                  <c:v>-37.7842578521141</c:v>
                </c:pt>
                <c:pt idx="485">
                  <c:v>-37.9889672551808</c:v>
                </c:pt>
                <c:pt idx="486">
                  <c:v>-38.1939206600251</c:v>
                </c:pt>
                <c:pt idx="487">
                  <c:v>-38.3991277149088</c:v>
                </c:pt>
                <c:pt idx="488">
                  <c:v>-38.6045985259095</c:v>
                </c:pt>
                <c:pt idx="489">
                  <c:v>-38.8103436711037</c:v>
                </c:pt>
                <c:pt idx="490">
                  <c:v>-39.0163742151091</c:v>
                </c:pt>
                <c:pt idx="491">
                  <c:v>-39.2227017239655</c:v>
                </c:pt>
                <c:pt idx="492">
                  <c:v>-39.4293382803278</c:v>
                </c:pt>
                <c:pt idx="493">
                  <c:v>-39.6362964989427</c:v>
                </c:pt>
                <c:pt idx="494">
                  <c:v>-39.8435895423762</c:v>
                </c:pt>
                <c:pt idx="495">
                  <c:v>-40.0512311369551</c:v>
                </c:pt>
                <c:pt idx="496">
                  <c:v>-40.2592355888818</c:v>
                </c:pt>
                <c:pt idx="497">
                  <c:v>-40.4676178004737</c:v>
                </c:pt>
                <c:pt idx="498">
                  <c:v>-40.6763932864795</c:v>
                </c:pt>
                <c:pt idx="499">
                  <c:v>-40.885578190412</c:v>
                </c:pt>
                <c:pt idx="500">
                  <c:v>-41.0951893008381</c:v>
                </c:pt>
                <c:pt idx="501">
                  <c:v>-41.3052440675531</c:v>
                </c:pt>
                <c:pt idx="502">
                  <c:v>-41.5157606175685</c:v>
                </c:pt>
                <c:pt idx="503">
                  <c:v>-41.7267577708271</c:v>
                </c:pt>
                <c:pt idx="504">
                  <c:v>-41.9382550555582</c:v>
                </c:pt>
                <c:pt idx="505">
                  <c:v>-42.1502727231763</c:v>
                </c:pt>
                <c:pt idx="506">
                  <c:v>-42.3628317626159</c:v>
                </c:pt>
                <c:pt idx="507">
                  <c:v>-42.5759539139949</c:v>
                </c:pt>
                <c:pt idx="508">
                  <c:v>-42.7896616814797</c:v>
                </c:pt>
                <c:pt idx="509">
                  <c:v>-43.0039783452301</c:v>
                </c:pt>
                <c:pt idx="510">
                  <c:v>-43.2189279722787</c:v>
                </c:pt>
                <c:pt idx="511">
                  <c:v>-43.4345354262062</c:v>
                </c:pt>
                <c:pt idx="512">
                  <c:v>-43.6508263754555</c:v>
                </c:pt>
                <c:pt idx="513">
                  <c:v>-43.8678273001203</c:v>
                </c:pt>
                <c:pt idx="514">
                  <c:v>-44.085565497042</c:v>
                </c:pt>
                <c:pt idx="515">
                  <c:v>-44.3040690830347</c:v>
                </c:pt>
                <c:pt idx="516">
                  <c:v>-44.5233669960539</c:v>
                </c:pt>
                <c:pt idx="517">
                  <c:v>-44.7434889941191</c:v>
                </c:pt>
                <c:pt idx="518">
                  <c:v>-44.9644656517904</c:v>
                </c:pt>
                <c:pt idx="519">
                  <c:v>-45.186328354002</c:v>
                </c:pt>
                <c:pt idx="520">
                  <c:v>-45.4091092870446</c:v>
                </c:pt>
                <c:pt idx="521">
                  <c:v>-45.6328414264909</c:v>
                </c:pt>
                <c:pt idx="522">
                  <c:v>-45.8575585218567</c:v>
                </c:pt>
                <c:pt idx="523">
                  <c:v>-46.0832950777911</c:v>
                </c:pt>
                <c:pt idx="524">
                  <c:v>-46.310086331593</c:v>
                </c:pt>
                <c:pt idx="525">
                  <c:v>-46.5379682268556</c:v>
                </c:pt>
                <c:pt idx="526">
                  <c:v>-46.7669773830488</c:v>
                </c:pt>
                <c:pt idx="527">
                  <c:v>-46.99715106086</c:v>
                </c:pt>
                <c:pt idx="528">
                  <c:v>-47.2285271231254</c:v>
                </c:pt>
                <c:pt idx="529">
                  <c:v>-47.4611439912036</c:v>
                </c:pt>
                <c:pt idx="530">
                  <c:v>-47.6950405966564</c:v>
                </c:pt>
                <c:pt idx="531">
                  <c:v>-47.93025632813</c:v>
                </c:pt>
                <c:pt idx="532">
                  <c:v>-48.1668309733549</c:v>
                </c:pt>
                <c:pt idx="533">
                  <c:v>-48.4048046562054</c:v>
                </c:pt>
                <c:pt idx="534">
                  <c:v>-48.644217768803</c:v>
                </c:pt>
                <c:pt idx="535">
                  <c:v>-48.8851108986751</c:v>
                </c:pt>
                <c:pt idx="536">
                  <c:v>-49.1275247510231</c:v>
                </c:pt>
                <c:pt idx="537">
                  <c:v>-49.3715000661981</c:v>
                </c:pt>
                <c:pt idx="538">
                  <c:v>-49.617077532525</c:v>
                </c:pt>
                <c:pt idx="539">
                  <c:v>-49.8642976946638</c:v>
                </c:pt>
                <c:pt idx="540">
                  <c:v>-50.1132008577477</c:v>
                </c:pt>
                <c:pt idx="541">
                  <c:v>-50.3638269875915</c:v>
                </c:pt>
              </c:numCache>
            </c:numRef>
          </c:yVal>
          <c:smooth val="1"/>
        </c:ser>
        <c:ser>
          <c:idx val="2"/>
          <c:order val="2"/>
          <c:tx>
            <c:strRef>
              <c:f>"f_LP"</c:f>
              <c:strCache>
                <c:ptCount val="1"/>
                <c:pt idx="0">
                  <c:v>f_LP</c:v>
                </c:pt>
              </c:strCache>
            </c:strRef>
          </c:tx>
          <c:spPr>
            <a:ln w="38100" cap="rnd" cmpd="sng" algn="ctr">
              <a:solidFill>
                <a:schemeClr val="accent3">
                  <a:shade val="76667"/>
                  <a:shade val="95000"/>
                  <a:satMod val="105000"/>
                </a:schemeClr>
              </a:solidFill>
              <a:prstDash val="solid"/>
              <a:round/>
            </a:ln>
          </c:spPr>
          <c:marker>
            <c:symbol val="x"/>
            <c:size val="7"/>
            <c:spPr>
              <a:noFill/>
            </c:spPr>
          </c:marker>
          <c:dPt>
            <c:idx val="0"/>
            <c:marker>
              <c:symbol val="x"/>
              <c:size val="7"/>
              <c:spPr>
                <a:noFill/>
                <a:ln w="19050" cap="flat" cmpd="sng" algn="ctr">
                  <a:solidFill>
                    <a:schemeClr val="tx1"/>
                  </a:solidFill>
                  <a:prstDash val="solid"/>
                  <a:round/>
                </a:ln>
              </c:spPr>
            </c:marker>
            <c:bubble3D val="0"/>
          </c:dPt>
          <c:dLbls>
            <c:dLbl>
              <c:idx val="0"/>
              <c:layout/>
              <c:tx>
                <c:rich>
                  <a:bodyPr rot="0" spcFirstLastPara="0" vertOverflow="ellipsis" vert="horz" wrap="square" lIns="38100" tIns="19050" rIns="38100" bIns="19050" anchor="ctr" anchorCtr="1"/>
                  <a:lstStyle/>
                  <a:p>
                    <a:pPr>
                      <a:defRPr lang="pl-PL" sz="1000" b="0" i="0" u="none" strike="noStrike" kern="1200" baseline="0">
                        <a:solidFill>
                          <a:schemeClr val="tx1"/>
                        </a:solidFill>
                        <a:latin typeface="+mn-lt"/>
                        <a:ea typeface="+mn-ea"/>
                        <a:cs typeface="+mn-cs"/>
                      </a:defRPr>
                    </a:pPr>
                    <a:r>
                      <a:rPr lang="en-US" sz="1100" b="1"/>
                      <a:t>f</a:t>
                    </a:r>
                    <a:r>
                      <a:rPr lang="en-US" sz="1100" b="1" baseline="-25000"/>
                      <a:t>LP</a:t>
                    </a:r>
                    <a:endParaRPr lang="en-US" b="1" baseline="-25000"/>
                  </a:p>
                </c:rich>
              </c:tx>
              <c:dLblPos val="b"/>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pl-PL" sz="1000" b="0" i="0" u="none" strike="noStrike" kern="1200" baseline="0">
                    <a:solidFill>
                      <a:schemeClr val="tx1"/>
                    </a:solidFill>
                    <a:latin typeface="+mn-lt"/>
                    <a:ea typeface="+mn-ea"/>
                    <a:cs typeface="+mn-cs"/>
                  </a:defRPr>
                </a:pPr>
              </a:p>
            </c:txPr>
            <c:dLblPos val="b"/>
            <c:showLegendKey val="0"/>
            <c:showVal val="0"/>
            <c:showCatName val="0"/>
            <c:showSerName val="1"/>
            <c:showPercent val="0"/>
            <c:showBubbleSize val="0"/>
            <c:showLeaderLines val="0"/>
            <c:extLst>
              <c:ext xmlns:c15="http://schemas.microsoft.com/office/drawing/2012/chart" uri="{CE6537A1-D6FC-4f65-9D91-7224C49458BB}">
                <c15:layout/>
                <c15:showLeaderLines val="0"/>
                <c15:leaderLines/>
              </c:ext>
            </c:extLst>
          </c:dLbls>
          <c:xVal>
            <c:numRef>
              <c:f>Loop_Modeling!$O$11</c:f>
              <c:numCache>
                <c:formatCode>0</c:formatCode>
                <c:ptCount val="1"/>
                <c:pt idx="0">
                  <c:v>121.802252366246</c:v>
                </c:pt>
              </c:numCache>
            </c:numRef>
          </c:xVal>
          <c:yVal>
            <c:numRef>
              <c:f>Loop_Modeling!$BL$11</c:f>
              <c:numCache>
                <c:formatCode>General</c:formatCode>
                <c:ptCount val="1"/>
                <c:pt idx="0">
                  <c:v>28.6143092845449</c:v>
                </c:pt>
              </c:numCache>
            </c:numRef>
          </c:yVal>
          <c:smooth val="0"/>
        </c:ser>
        <c:ser>
          <c:idx val="3"/>
          <c:order val="3"/>
          <c:tx>
            <c:strRef>
              <c:f>"fz_rhp"</c:f>
              <c:strCache>
                <c:ptCount val="1"/>
                <c:pt idx="0">
                  <c:v>fz_rhp</c:v>
                </c:pt>
              </c:strCache>
            </c:strRef>
          </c:tx>
          <c:spPr>
            <a:ln w="28575" cap="rnd" cmpd="sng" algn="ctr">
              <a:solidFill>
                <a:schemeClr val="tx1"/>
              </a:solidFill>
              <a:prstDash val="solid"/>
              <a:round/>
            </a:ln>
          </c:spPr>
          <c:marker>
            <c:symbol val="circle"/>
            <c:size val="7"/>
            <c:spPr>
              <a:noFill/>
              <a:ln w="19050" cap="flat" cmpd="sng" algn="ctr">
                <a:solidFill>
                  <a:schemeClr val="tx1"/>
                </a:solidFill>
                <a:prstDash val="solid"/>
                <a:round/>
              </a:ln>
            </c:spPr>
          </c:marker>
          <c:dLbls>
            <c:dLbl>
              <c:idx val="0"/>
              <c:layout>
                <c:manualLayout>
                  <c:x val="0.00805012095614235"/>
                  <c:y val="-0.0154936672785042"/>
                </c:manualLayout>
              </c:layout>
              <c:dLblPos val="r"/>
              <c:showLegendKey val="0"/>
              <c:showVal val="0"/>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pl-PL" sz="1000" b="1" i="0" u="none" strike="noStrike" kern="1200" baseline="0">
                    <a:solidFill>
                      <a:schemeClr val="tx1"/>
                    </a:solidFill>
                    <a:latin typeface="+mn-lt"/>
                    <a:ea typeface="+mn-ea"/>
                    <a:cs typeface="+mn-cs"/>
                  </a:defRPr>
                </a:pPr>
              </a:p>
            </c:txPr>
            <c:dLblPos val="t"/>
            <c:showLegendKey val="0"/>
            <c:showVal val="0"/>
            <c:showCatName val="0"/>
            <c:showSerName val="1"/>
            <c:showPercent val="0"/>
            <c:showBubbleSize val="0"/>
            <c:showLeaderLines val="0"/>
            <c:extLst>
              <c:ext xmlns:c15="http://schemas.microsoft.com/office/drawing/2012/chart" uri="{CE6537A1-D6FC-4f65-9D91-7224C49458BB}">
                <c15:layout/>
                <c15:showLeaderLines val="0"/>
                <c15:leaderLines/>
              </c:ext>
            </c:extLst>
          </c:dLbls>
          <c:xVal>
            <c:numRef>
              <c:f>Loop_Modeling!$O$9</c:f>
              <c:numCache>
                <c:formatCode>0</c:formatCode>
                <c:ptCount val="1"/>
                <c:pt idx="0">
                  <c:v>7275.65454134379</c:v>
                </c:pt>
              </c:numCache>
            </c:numRef>
          </c:xVal>
          <c:yVal>
            <c:numRef>
              <c:f>Loop_Modeling!$BL$9</c:f>
              <c:numCache>
                <c:formatCode>General</c:formatCode>
                <c:ptCount val="1"/>
                <c:pt idx="0">
                  <c:v>-8.66460277277825</c:v>
                </c:pt>
              </c:numCache>
            </c:numRef>
          </c:yVal>
          <c:smooth val="1"/>
        </c:ser>
        <c:ser>
          <c:idx val="4"/>
          <c:order val="4"/>
          <c:tx>
            <c:strRef>
              <c:f>"f_esr"</c:f>
              <c:strCache>
                <c:ptCount val="1"/>
                <c:pt idx="0">
                  <c:v>f_esr</c:v>
                </c:pt>
              </c:strCache>
            </c:strRef>
          </c:tx>
          <c:spPr>
            <a:ln w="28575" cap="rnd" cmpd="sng" algn="ctr">
              <a:noFill/>
              <a:prstDash val="solid"/>
              <a:round/>
            </a:ln>
          </c:spPr>
          <c:marker>
            <c:symbol val="circle"/>
            <c:size val="5"/>
            <c:spPr>
              <a:noFill/>
              <a:ln w="19050" cap="flat" cmpd="sng" algn="ctr">
                <a:solidFill>
                  <a:schemeClr val="tx1"/>
                </a:solidFill>
                <a:prstDash val="solid"/>
                <a:round/>
              </a:ln>
            </c:spPr>
          </c:marker>
          <c:dPt>
            <c:idx val="0"/>
            <c:marker>
              <c:symbol val="circle"/>
              <c:size val="7"/>
              <c:spPr>
                <a:noFill/>
                <a:ln w="19050" cap="flat" cmpd="sng" algn="ctr">
                  <a:solidFill>
                    <a:schemeClr val="tx1"/>
                  </a:solidFill>
                  <a:prstDash val="solid"/>
                  <a:round/>
                </a:ln>
              </c:spPr>
            </c:marker>
            <c:bubble3D val="0"/>
          </c:dPt>
          <c:dLbls>
            <c:dLbl>
              <c:idx val="0"/>
              <c:layout>
                <c:manualLayout>
                  <c:x val="-0.0599047448989965"/>
                  <c:y val="-0.0124571934900871"/>
                </c:manualLayout>
              </c:layout>
              <c:dLblPos val="r"/>
              <c:showLegendKey val="0"/>
              <c:showVal val="0"/>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pl-PL" sz="1000" b="1" i="0" u="none" strike="noStrike" kern="1200" baseline="0">
                    <a:solidFill>
                      <a:schemeClr val="tx1"/>
                    </a:solidFill>
                    <a:latin typeface="+mn-lt"/>
                    <a:ea typeface="+mn-ea"/>
                    <a:cs typeface="+mn-cs"/>
                  </a:defRPr>
                </a:pPr>
              </a:p>
            </c:txPr>
            <c:dLblPos val="t"/>
            <c:showLegendKey val="0"/>
            <c:showVal val="0"/>
            <c:showCatName val="0"/>
            <c:showSerName val="1"/>
            <c:showPercent val="0"/>
            <c:showBubbleSize val="0"/>
            <c:showLeaderLines val="0"/>
            <c:extLst>
              <c:ext xmlns:c15="http://schemas.microsoft.com/office/drawing/2012/chart" uri="{CE6537A1-D6FC-4f65-9D91-7224C49458BB}">
                <c15:layout/>
                <c15:showLeaderLines val="0"/>
                <c15:leaderLines/>
              </c:ext>
            </c:extLst>
          </c:dLbls>
          <c:xVal>
            <c:numRef>
              <c:f>Loop_Modeling!$O$10</c:f>
              <c:numCache>
                <c:formatCode>0</c:formatCode>
                <c:ptCount val="1"/>
                <c:pt idx="0">
                  <c:v>10150.1876971872</c:v>
                </c:pt>
              </c:numCache>
            </c:numRef>
          </c:xVal>
          <c:yVal>
            <c:numRef>
              <c:f>Loop_Modeling!$BL$10</c:f>
              <c:numCache>
                <c:formatCode>General</c:formatCode>
                <c:ptCount val="1"/>
                <c:pt idx="0">
                  <c:v>-9.73925230488481</c:v>
                </c:pt>
              </c:numCache>
            </c:numRef>
          </c:yVal>
          <c:smooth val="1"/>
        </c:ser>
        <c:ser>
          <c:idx val="5"/>
          <c:order val="5"/>
          <c:tx>
            <c:strRef>
              <c:f>"fz_ea"</c:f>
              <c:strCache>
                <c:ptCount val="1"/>
                <c:pt idx="0">
                  <c:v>fz_ea</c:v>
                </c:pt>
              </c:strCache>
            </c:strRef>
          </c:tx>
          <c:marker>
            <c:symbol val="circle"/>
            <c:size val="8"/>
            <c:spPr>
              <a:noFill/>
              <a:ln w="25400" cap="flat" cmpd="sng" algn="ctr">
                <a:solidFill>
                  <a:srgbClr val="00B0F0"/>
                </a:solidFill>
                <a:prstDash val="solid"/>
                <a:round/>
              </a:ln>
            </c:spPr>
          </c:marker>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pl-PL" sz="1000" b="1" i="0" u="none" strike="noStrike" kern="1200" baseline="0">
                      <a:solidFill>
                        <a:schemeClr val="tx1"/>
                      </a:solidFill>
                      <a:latin typeface="+mn-lt"/>
                      <a:ea typeface="+mn-ea"/>
                      <a:cs typeface="+mn-cs"/>
                    </a:defRPr>
                  </a:pPr>
                </a:p>
              </c:txPr>
              <c:dLblPos val="b"/>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pl-PL" sz="1000" b="0" i="0" u="none" strike="noStrike" kern="1200" baseline="0">
                    <a:solidFill>
                      <a:schemeClr val="tx1"/>
                    </a:solidFill>
                    <a:latin typeface="+mn-lt"/>
                    <a:ea typeface="+mn-ea"/>
                    <a:cs typeface="+mn-cs"/>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LeaderLines val="0"/>
                <c15:leaderLines/>
              </c:ext>
            </c:extLst>
          </c:dLbls>
          <c:xVal>
            <c:numRef>
              <c:f>Loop_Modeling!$O$12</c:f>
              <c:numCache>
                <c:formatCode>General</c:formatCode>
                <c:ptCount val="1"/>
                <c:pt idx="0">
                  <c:v>289.372623803446</c:v>
                </c:pt>
              </c:numCache>
            </c:numRef>
          </c:xVal>
          <c:yVal>
            <c:numRef>
              <c:f>Loop_Modeling!$BL$12</c:f>
              <c:numCache>
                <c:formatCode>General</c:formatCode>
                <c:ptCount val="1"/>
                <c:pt idx="0">
                  <c:v>18.1926138130771</c:v>
                </c:pt>
              </c:numCache>
            </c:numRef>
          </c:yVal>
          <c:smooth val="1"/>
        </c:ser>
        <c:ser>
          <c:idx val="6"/>
          <c:order val="6"/>
          <c:tx>
            <c:strRef>
              <c:f>"fp_ea"</c:f>
              <c:strCache>
                <c:ptCount val="1"/>
                <c:pt idx="0">
                  <c:v>fp_ea</c:v>
                </c:pt>
              </c:strCache>
            </c:strRef>
          </c:tx>
          <c:marker>
            <c:symbol val="x"/>
            <c:size val="7"/>
            <c:spPr>
              <a:noFill/>
              <a:ln w="25400" cap="flat" cmpd="sng" algn="ctr">
                <a:solidFill>
                  <a:srgbClr val="00B0F0"/>
                </a:solidFill>
                <a:prstDash val="solid"/>
                <a:round/>
              </a:ln>
            </c:spPr>
          </c:marker>
          <c:dLbls>
            <c:dLbl>
              <c:idx val="0"/>
              <c:layout>
                <c:manualLayout>
                  <c:x val="-0.0539957399119839"/>
                  <c:y val="0.0337125100090066"/>
                </c:manualLayout>
              </c:layout>
              <c:dLblPos val="r"/>
              <c:showLegendKey val="0"/>
              <c:showVal val="0"/>
              <c:showCatName val="0"/>
              <c:showSerName val="1"/>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pl-PL" sz="1000" b="1" i="0" u="none" strike="noStrike" kern="1200" baseline="0">
                    <a:solidFill>
                      <a:schemeClr val="tx1"/>
                    </a:solidFill>
                    <a:latin typeface="+mn-lt"/>
                    <a:ea typeface="+mn-ea"/>
                    <a:cs typeface="+mn-cs"/>
                  </a:defRPr>
                </a:pPr>
              </a:p>
            </c:txPr>
            <c:dLblPos val="b"/>
            <c:showLegendKey val="0"/>
            <c:showVal val="0"/>
            <c:showCatName val="0"/>
            <c:showSerName val="1"/>
            <c:showPercent val="0"/>
            <c:showBubbleSize val="0"/>
            <c:showLeaderLines val="0"/>
            <c:extLst>
              <c:ext xmlns:c15="http://schemas.microsoft.com/office/drawing/2012/chart" uri="{CE6537A1-D6FC-4f65-9D91-7224C49458BB}">
                <c15:layout/>
                <c15:showLeaderLines val="0"/>
                <c15:leaderLines/>
              </c:ext>
            </c:extLst>
          </c:dLbls>
          <c:xVal>
            <c:numRef>
              <c:f>Loop_Modeling!$O$13</c:f>
              <c:numCache>
                <c:formatCode>General</c:formatCode>
                <c:ptCount val="1"/>
                <c:pt idx="0">
                  <c:v>13834.4741635392</c:v>
                </c:pt>
              </c:numCache>
            </c:numRef>
          </c:xVal>
          <c:yVal>
            <c:numRef>
              <c:f>Loop_Modeling!$BL$13</c:f>
              <c:numCache>
                <c:formatCode>General</c:formatCode>
                <c:ptCount val="1"/>
                <c:pt idx="0">
                  <c:v>-10.4976432469303</c:v>
                </c:pt>
              </c:numCache>
            </c:numRef>
          </c:yVal>
          <c:smooth val="1"/>
        </c:ser>
        <c:dLbls>
          <c:showLegendKey val="0"/>
          <c:showVal val="0"/>
          <c:showCatName val="0"/>
          <c:showSerName val="0"/>
          <c:showPercent val="0"/>
          <c:showBubbleSize val="0"/>
        </c:dLbls>
        <c:axId val="174189952"/>
        <c:axId val="175126016"/>
      </c:scatterChart>
      <c:scatterChart>
        <c:scatterStyle val="smooth"/>
        <c:varyColors val="0"/>
        <c:ser>
          <c:idx val="1"/>
          <c:order val="1"/>
          <c:tx>
            <c:strRef>
              <c:f>"Phase (deg)"</c:f>
              <c:strCache>
                <c:ptCount val="1"/>
                <c:pt idx="0">
                  <c:v>Phase (deg)</c:v>
                </c:pt>
              </c:strCache>
            </c:strRef>
          </c:tx>
          <c:spPr>
            <a:ln w="28575" cap="rnd" cmpd="sng" algn="ctr">
              <a:solidFill>
                <a:schemeClr val="tx1">
                  <a:lumMod val="95000"/>
                  <a:lumOff val="5000"/>
                </a:schemeClr>
              </a:solidFill>
              <a:prstDash val="sysDash"/>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Loop_Modeling!$BM$19:$BM$560</c:f>
              <c:numCache>
                <c:formatCode>General</c:formatCode>
                <c:ptCount val="542"/>
                <c:pt idx="0">
                  <c:v>87.1362801473208</c:v>
                </c:pt>
                <c:pt idx="1">
                  <c:v>87.0700763385623</c:v>
                </c:pt>
                <c:pt idx="2">
                  <c:v>87.0023660293467</c:v>
                </c:pt>
                <c:pt idx="3">
                  <c:v>86.9331166455999</c:v>
                </c:pt>
                <c:pt idx="4">
                  <c:v>86.8622950311027</c:v>
                </c:pt>
                <c:pt idx="5">
                  <c:v>86.789867446152</c:v>
                </c:pt>
                <c:pt idx="6">
                  <c:v>86.715799567017</c:v>
                </c:pt>
                <c:pt idx="7">
                  <c:v>86.6400564862601</c:v>
                </c:pt>
                <c:pt idx="8">
                  <c:v>86.5626027140009</c:v>
                </c:pt>
                <c:pt idx="9">
                  <c:v>86.4834021802034</c:v>
                </c:pt>
                <c:pt idx="10">
                  <c:v>86.402418238075</c:v>
                </c:pt>
                <c:pt idx="11">
                  <c:v>86.3196136686667</c:v>
                </c:pt>
                <c:pt idx="12">
                  <c:v>86.2349506867778</c:v>
                </c:pt>
                <c:pt idx="13">
                  <c:v>86.1483909482636</c:v>
                </c:pt>
                <c:pt idx="14">
                  <c:v>86.0598955588636</c:v>
                </c:pt>
                <c:pt idx="15">
                  <c:v>85.9694250846615</c:v>
                </c:pt>
                <c:pt idx="16">
                  <c:v>85.8769395643072</c:v>
                </c:pt>
                <c:pt idx="17">
                  <c:v>85.7823985231294</c:v>
                </c:pt>
                <c:pt idx="18">
                  <c:v>85.6857609892805</c:v>
                </c:pt>
                <c:pt idx="19">
                  <c:v>85.58698551206</c:v>
                </c:pt>
                <c:pt idx="20">
                  <c:v>85.4860301825736</c:v>
                </c:pt>
                <c:pt idx="21">
                  <c:v>85.3828526568916</c:v>
                </c:pt>
                <c:pt idx="22">
                  <c:v>85.2774101818796</c:v>
                </c:pt>
                <c:pt idx="23">
                  <c:v>85.1696596238831</c:v>
                </c:pt>
                <c:pt idx="24">
                  <c:v>85.0595575004591</c:v>
                </c:pt>
                <c:pt idx="25">
                  <c:v>84.9470600153515</c:v>
                </c:pt>
                <c:pt idx="26">
                  <c:v>84.8321230969242</c:v>
                </c:pt>
                <c:pt idx="27">
                  <c:v>84.7147024402684</c:v>
                </c:pt>
                <c:pt idx="28">
                  <c:v>84.5947535532146</c:v>
                </c:pt>
                <c:pt idx="29">
                  <c:v>84.4722318064876</c:v>
                </c:pt>
                <c:pt idx="30">
                  <c:v>84.3470924882523</c:v>
                </c:pt>
                <c:pt idx="31">
                  <c:v>84.2192908633092</c:v>
                </c:pt>
                <c:pt idx="32">
                  <c:v>84.0887822372041</c:v>
                </c:pt>
                <c:pt idx="33">
                  <c:v>83.9555220255293</c:v>
                </c:pt>
                <c:pt idx="34">
                  <c:v>83.8194658286988</c:v>
                </c:pt>
                <c:pt idx="35">
                  <c:v>83.6805695124893</c:v>
                </c:pt>
                <c:pt idx="36">
                  <c:v>83.5387892946456</c:v>
                </c:pt>
                <c:pt idx="37">
                  <c:v>83.3940818378534</c:v>
                </c:pt>
                <c:pt idx="38">
                  <c:v>83.2464043493905</c:v>
                </c:pt>
                <c:pt idx="39">
                  <c:v>83.0957146877678</c:v>
                </c:pt>
                <c:pt idx="40">
                  <c:v>82.9419714766767</c:v>
                </c:pt>
                <c:pt idx="41">
                  <c:v>82.7851342265555</c:v>
                </c:pt>
                <c:pt idx="42">
                  <c:v>82.6251634640926</c:v>
                </c:pt>
                <c:pt idx="43">
                  <c:v>82.4620208699735</c:v>
                </c:pt>
                <c:pt idx="44">
                  <c:v>82.2956694251769</c:v>
                </c:pt>
                <c:pt idx="45">
                  <c:v>82.1260735661115</c:v>
                </c:pt>
                <c:pt idx="46">
                  <c:v>81.9531993488805</c:v>
                </c:pt>
                <c:pt idx="47">
                  <c:v>81.7770146229323</c:v>
                </c:pt>
                <c:pt idx="48">
                  <c:v>81.5974892143498</c:v>
                </c:pt>
                <c:pt idx="49">
                  <c:v>81.414595118992</c:v>
                </c:pt>
                <c:pt idx="50">
                  <c:v>81.2283067056864</c:v>
                </c:pt>
                <c:pt idx="51">
                  <c:v>81.038600929623</c:v>
                </c:pt>
                <c:pt idx="52">
                  <c:v>80.8454575560696</c:v>
                </c:pt>
                <c:pt idx="53">
                  <c:v>80.6488593944787</c:v>
                </c:pt>
                <c:pt idx="54">
                  <c:v>80.4487925429994</c:v>
                </c:pt>
                <c:pt idx="55">
                  <c:v>80.2452466433575</c:v>
                </c:pt>
                <c:pt idx="56">
                  <c:v>80.0382151459874</c:v>
                </c:pt>
                <c:pt idx="57">
                  <c:v>79.8276955852347</c:v>
                </c:pt>
                <c:pt idx="58">
                  <c:v>79.6136898643593</c:v>
                </c:pt>
                <c:pt idx="59">
                  <c:v>79.3962045499792</c:v>
                </c:pt>
                <c:pt idx="60">
                  <c:v>79.175251175493</c:v>
                </c:pt>
                <c:pt idx="61">
                  <c:v>78.9508465529142</c:v>
                </c:pt>
                <c:pt idx="62">
                  <c:v>78.7230130924265</c:v>
                </c:pt>
                <c:pt idx="63">
                  <c:v>78.4917791288464</c:v>
                </c:pt>
                <c:pt idx="64">
                  <c:v>78.257179254043</c:v>
                </c:pt>
                <c:pt idx="65">
                  <c:v>78.0192546542196</c:v>
                </c:pt>
                <c:pt idx="66">
                  <c:v>77.7780534508098</c:v>
                </c:pt>
                <c:pt idx="67">
                  <c:v>77.5336310435838</c:v>
                </c:pt>
                <c:pt idx="68">
                  <c:v>77.2860504543914</c:v>
                </c:pt>
                <c:pt idx="69">
                  <c:v>77.0353826697982</c:v>
                </c:pt>
                <c:pt idx="70">
                  <c:v>76.7817069806976</c:v>
                </c:pt>
                <c:pt idx="71">
                  <c:v>76.525111316801</c:v>
                </c:pt>
                <c:pt idx="72">
                  <c:v>76.2656925737311</c:v>
                </c:pt>
                <c:pt idx="73">
                  <c:v>76.0035569302646</c:v>
                </c:pt>
                <c:pt idx="74">
                  <c:v>75.7388201530981</c:v>
                </c:pt>
                <c:pt idx="75">
                  <c:v>75.4716078863407</c:v>
                </c:pt>
                <c:pt idx="76">
                  <c:v>75.2020559227796</c:v>
                </c:pt>
                <c:pt idx="77">
                  <c:v>74.9303104538172</c:v>
                </c:pt>
                <c:pt idx="78">
                  <c:v>74.6565282948459</c:v>
                </c:pt>
                <c:pt idx="79">
                  <c:v>74.3808770827122</c:v>
                </c:pt>
                <c:pt idx="80">
                  <c:v>74.103535441833</c:v>
                </c:pt>
                <c:pt idx="81">
                  <c:v>73.8246931154602</c:v>
                </c:pt>
                <c:pt idx="82">
                  <c:v>73.5445510585499</c:v>
                </c:pt>
                <c:pt idx="83">
                  <c:v>73.2633214886948</c:v>
                </c:pt>
                <c:pt idx="84">
                  <c:v>72.9812278916076</c:v>
                </c:pt>
                <c:pt idx="85">
                  <c:v>72.6985049777151</c:v>
                </c:pt>
                <c:pt idx="86">
                  <c:v>72.4153985865392</c:v>
                </c:pt>
                <c:pt idx="87">
                  <c:v>72.1321655357008</c:v>
                </c:pt>
                <c:pt idx="88">
                  <c:v>71.8490734115855</c:v>
                </c:pt>
                <c:pt idx="89">
                  <c:v>71.5664002989698</c:v>
                </c:pt>
                <c:pt idx="90">
                  <c:v>71.2844344472058</c:v>
                </c:pt>
                <c:pt idx="91">
                  <c:v>71.0034738709161</c:v>
                </c:pt>
                <c:pt idx="92">
                  <c:v>70.7238258835539</c:v>
                </c:pt>
                <c:pt idx="93">
                  <c:v>70.4458065626228</c:v>
                </c:pt>
                <c:pt idx="94">
                  <c:v>70.1697401458506</c:v>
                </c:pt>
                <c:pt idx="95">
                  <c:v>69.8959583581323</c:v>
                </c:pt>
                <c:pt idx="96">
                  <c:v>69.6247996696289</c:v>
                </c:pt>
                <c:pt idx="97">
                  <c:v>69.3566084860009</c:v>
                </c:pt>
                <c:pt idx="98">
                  <c:v>69.0917342723718</c:v>
                </c:pt>
                <c:pt idx="99">
                  <c:v>68.8305306132604</c:v>
                </c:pt>
                <c:pt idx="100">
                  <c:v>68.5733542113536</c:v>
                </c:pt>
                <c:pt idx="101">
                  <c:v>68.3205638286427</c:v>
                </c:pt>
                <c:pt idx="102">
                  <c:v>68.0725191740817</c:v>
                </c:pt>
                <c:pt idx="103">
                  <c:v>67.8295797425436</c:v>
                </c:pt>
                <c:pt idx="104">
                  <c:v>67.5921036104485</c:v>
                </c:pt>
                <c:pt idx="105">
                  <c:v>67.3604461939908</c:v>
                </c:pt>
                <c:pt idx="106">
                  <c:v>67.1349589764221</c:v>
                </c:pt>
                <c:pt idx="107">
                  <c:v>66.9159882112994</c:v>
                </c:pt>
                <c:pt idx="108">
                  <c:v>66.703873609035</c:v>
                </c:pt>
                <c:pt idx="109">
                  <c:v>66.4989470144153</c:v>
                </c:pt>
                <c:pt idx="110">
                  <c:v>66.3015310830545</c:v>
                </c:pt>
                <c:pt idx="111">
                  <c:v>66.111937964935</c:v>
                </c:pt>
                <c:pt idx="112">
                  <c:v>65.9304680033375</c:v>
                </c:pt>
                <c:pt idx="113">
                  <c:v>65.7574084575004</c:v>
                </c:pt>
                <c:pt idx="114">
                  <c:v>65.5930322573431</c:v>
                </c:pt>
                <c:pt idx="115">
                  <c:v>65.4375967984582</c:v>
                </c:pt>
                <c:pt idx="116">
                  <c:v>65.2913427854341</c:v>
                </c:pt>
                <c:pt idx="117">
                  <c:v>65.1544931312829</c:v>
                </c:pt>
                <c:pt idx="118">
                  <c:v>65.0272519204495</c:v>
                </c:pt>
                <c:pt idx="119">
                  <c:v>64.9098034424746</c:v>
                </c:pt>
                <c:pt idx="120">
                  <c:v>64.8023113029337</c:v>
                </c:pt>
                <c:pt idx="121">
                  <c:v>64.7049176177687</c:v>
                </c:pt>
                <c:pt idx="122">
                  <c:v>64.6177422965601</c:v>
                </c:pt>
                <c:pt idx="123">
                  <c:v>64.5408824196835</c:v>
                </c:pt>
                <c:pt idx="124">
                  <c:v>64.4744117136413</c:v>
                </c:pt>
                <c:pt idx="125">
                  <c:v>64.4183801281877</c:v>
                </c:pt>
                <c:pt idx="126">
                  <c:v>64.3728135181362</c:v>
                </c:pt>
                <c:pt idx="127">
                  <c:v>64.3377134320235</c:v>
                </c:pt>
                <c:pt idx="128">
                  <c:v>64.313057009036</c:v>
                </c:pt>
                <c:pt idx="129">
                  <c:v>64.2987969848564</c:v>
                </c:pt>
                <c:pt idx="130">
                  <c:v>64.2948618063147</c:v>
                </c:pt>
                <c:pt idx="131">
                  <c:v>64.3011558539625</c:v>
                </c:pt>
                <c:pt idx="132">
                  <c:v>64.3175597709332</c:v>
                </c:pt>
                <c:pt idx="133">
                  <c:v>64.3439308957</c:v>
                </c:pt>
                <c:pt idx="134">
                  <c:v>64.3801037956225</c:v>
                </c:pt>
                <c:pt idx="135">
                  <c:v>64.4258908974546</c:v>
                </c:pt>
                <c:pt idx="136">
                  <c:v>64.4810832103356</c:v>
                </c:pt>
                <c:pt idx="137">
                  <c:v>64.545451136121</c:v>
                </c:pt>
                <c:pt idx="138">
                  <c:v>64.6187453613391</c:v>
                </c:pt>
                <c:pt idx="139">
                  <c:v>64.7006978244937</c:v>
                </c:pt>
                <c:pt idx="140">
                  <c:v>64.7910227519521</c:v>
                </c:pt>
                <c:pt idx="141">
                  <c:v>64.8894177552118</c:v>
                </c:pt>
                <c:pt idx="142">
                  <c:v>64.995564981975</c:v>
                </c:pt>
                <c:pt idx="143">
                  <c:v>65.109132313155</c:v>
                </c:pt>
                <c:pt idx="144">
                  <c:v>65.2297745977057</c:v>
                </c:pt>
                <c:pt idx="145">
                  <c:v>65.3571349170092</c:v>
                </c:pt>
                <c:pt idx="146">
                  <c:v>65.4908458704792</c:v>
                </c:pt>
                <c:pt idx="147">
                  <c:v>65.6305308740335</c:v>
                </c:pt>
                <c:pt idx="148">
                  <c:v>65.775805463169</c:v>
                </c:pt>
                <c:pt idx="149">
                  <c:v>65.9262785925218</c:v>
                </c:pt>
                <c:pt idx="150">
                  <c:v>66.0815539240289</c:v>
                </c:pt>
                <c:pt idx="151">
                  <c:v>66.2412310961033</c:v>
                </c:pt>
                <c:pt idx="152">
                  <c:v>66.4049069666051</c:v>
                </c:pt>
                <c:pt idx="153">
                  <c:v>66.5721768228139</c:v>
                </c:pt>
                <c:pt idx="154">
                  <c:v>66.7426355521018</c:v>
                </c:pt>
                <c:pt idx="155">
                  <c:v>66.9158787675245</c:v>
                </c:pt>
                <c:pt idx="156">
                  <c:v>67.0915038831289</c:v>
                </c:pt>
                <c:pt idx="157">
                  <c:v>67.2691111343793</c:v>
                </c:pt>
                <c:pt idx="158">
                  <c:v>67.4483045397164</c:v>
                </c:pt>
                <c:pt idx="159">
                  <c:v>67.6286927999293</c:v>
                </c:pt>
                <c:pt idx="160">
                  <c:v>67.8098901326359</c:v>
                </c:pt>
                <c:pt idx="161">
                  <c:v>67.9915170398369</c:v>
                </c:pt>
                <c:pt idx="162">
                  <c:v>68.173201007123</c:v>
                </c:pt>
                <c:pt idx="163">
                  <c:v>68.3545771337358</c:v>
                </c:pt>
                <c:pt idx="164">
                  <c:v>68.5352886932723</c:v>
                </c:pt>
                <c:pt idx="165">
                  <c:v>68.7149876253703</c:v>
                </c:pt>
                <c:pt idx="166">
                  <c:v>68.8933349592462</c:v>
                </c:pt>
                <c:pt idx="167">
                  <c:v>69.0700011704228</c:v>
                </c:pt>
                <c:pt idx="168">
                  <c:v>69.2446664724281</c:v>
                </c:pt>
                <c:pt idx="169">
                  <c:v>69.4170210456249</c:v>
                </c:pt>
                <c:pt idx="170">
                  <c:v>69.5867652056892</c:v>
                </c:pt>
                <c:pt idx="171">
                  <c:v>69.7536095145182</c:v>
                </c:pt>
                <c:pt idx="172">
                  <c:v>69.9172748366209</c:v>
                </c:pt>
                <c:pt idx="173">
                  <c:v>70.0774923442177</c:v>
                </c:pt>
                <c:pt idx="174">
                  <c:v>70.2340034744311</c:v>
                </c:pt>
                <c:pt idx="175">
                  <c:v>70.3865598420572</c:v>
                </c:pt>
                <c:pt idx="176">
                  <c:v>70.5349231114638</c:v>
                </c:pt>
                <c:pt idx="177">
                  <c:v>70.6788648311893</c:v>
                </c:pt>
                <c:pt idx="178">
                  <c:v>70.8181662348071</c:v>
                </c:pt>
                <c:pt idx="179">
                  <c:v>70.9526180115715</c:v>
                </c:pt>
                <c:pt idx="180">
                  <c:v>71.0820200502966</c:v>
                </c:pt>
                <c:pt idx="181">
                  <c:v>71.2061811598245</c:v>
                </c:pt>
                <c:pt idx="182">
                  <c:v>71.3249187693148</c:v>
                </c:pt>
                <c:pt idx="183">
                  <c:v>71.438058611467</c:v>
                </c:pt>
                <c:pt idx="184">
                  <c:v>71.5454343916294</c:v>
                </c:pt>
                <c:pt idx="185">
                  <c:v>71.6468874455929</c:v>
                </c:pt>
                <c:pt idx="186">
                  <c:v>71.7422663887056</c:v>
                </c:pt>
                <c:pt idx="187">
                  <c:v>71.8314267587661</c:v>
                </c:pt>
                <c:pt idx="188">
                  <c:v>71.9142306549899</c:v>
                </c:pt>
                <c:pt idx="189">
                  <c:v>71.9905463751566</c:v>
                </c:pt>
                <c:pt idx="190">
                  <c:v>72.0602480528804</c:v>
                </c:pt>
                <c:pt idx="191">
                  <c:v>72.1232152967825</c:v>
                </c:pt>
                <c:pt idx="192">
                  <c:v>72.1793328331643</c:v>
                </c:pt>
                <c:pt idx="193">
                  <c:v>72.2284901536378</c:v>
                </c:pt>
                <c:pt idx="194">
                  <c:v>72.2705811690077</c:v>
                </c:pt>
                <c:pt idx="195">
                  <c:v>72.3055038705607</c:v>
                </c:pt>
                <c:pt idx="196">
                  <c:v>72.3331599997818</c:v>
                </c:pt>
                <c:pt idx="197">
                  <c:v>72.3534547273895</c:v>
                </c:pt>
                <c:pt idx="198">
                  <c:v>72.3662963424631</c:v>
                </c:pt>
                <c:pt idx="199">
                  <c:v>72.3715959523331</c:v>
                </c:pt>
                <c:pt idx="200">
                  <c:v>72.3692671937969</c:v>
                </c:pt>
                <c:pt idx="201">
                  <c:v>72.3592259561409</c:v>
                </c:pt>
                <c:pt idx="202">
                  <c:v>72.3413901163615</c:v>
                </c:pt>
                <c:pt idx="203">
                  <c:v>72.3156792869095</c:v>
                </c:pt>
                <c:pt idx="204">
                  <c:v>72.2820145762135</c:v>
                </c:pt>
                <c:pt idx="205">
                  <c:v>72.2403183621849</c:v>
                </c:pt>
                <c:pt idx="206">
                  <c:v>72.1905140788523</c:v>
                </c:pt>
                <c:pt idx="207">
                  <c:v>72.132526016236</c:v>
                </c:pt>
                <c:pt idx="208">
                  <c:v>72.0662791335309</c:v>
                </c:pt>
                <c:pt idx="209">
                  <c:v>71.9916988856397</c:v>
                </c:pt>
                <c:pt idx="210">
                  <c:v>71.908711063071</c:v>
                </c:pt>
                <c:pt idx="211">
                  <c:v>71.8172416451955</c:v>
                </c:pt>
                <c:pt idx="212">
                  <c:v>71.7172166668399</c:v>
                </c:pt>
                <c:pt idx="213">
                  <c:v>71.6085620981831</c:v>
                </c:pt>
                <c:pt idx="214">
                  <c:v>71.4912037379106</c:v>
                </c:pt>
                <c:pt idx="215">
                  <c:v>71.3650671195776</c:v>
                </c:pt>
                <c:pt idx="216">
                  <c:v>71.2300774311266</c:v>
                </c:pt>
                <c:pt idx="217">
                  <c:v>71.0861594475005</c:v>
                </c:pt>
                <c:pt idx="218">
                  <c:v>70.9332374762968</c:v>
                </c:pt>
                <c:pt idx="219">
                  <c:v>70.7712353164004</c:v>
                </c:pt>
                <c:pt idx="220">
                  <c:v>70.6000762295399</c:v>
                </c:pt>
                <c:pt idx="221">
                  <c:v>70.4196829247056</c:v>
                </c:pt>
                <c:pt idx="222">
                  <c:v>70.2299775553735</c:v>
                </c:pt>
                <c:pt idx="223">
                  <c:v>70.0308817294694</c:v>
                </c:pt>
                <c:pt idx="224">
                  <c:v>69.8223165320112</c:v>
                </c:pt>
                <c:pt idx="225">
                  <c:v>69.6042025603596</c:v>
                </c:pt>
                <c:pt idx="226">
                  <c:v>69.3764599719982</c:v>
                </c:pt>
                <c:pt idx="227">
                  <c:v>69.1390085447544</c:v>
                </c:pt>
                <c:pt idx="228">
                  <c:v>68.8917677493611</c:v>
                </c:pt>
                <c:pt idx="229">
                  <c:v>68.6346568342378</c:v>
                </c:pt>
                <c:pt idx="230">
                  <c:v>68.3675949223544</c:v>
                </c:pt>
                <c:pt idx="231">
                  <c:v>68.0905011200069</c:v>
                </c:pt>
                <c:pt idx="232">
                  <c:v>67.8032946373131</c:v>
                </c:pt>
                <c:pt idx="233">
                  <c:v>67.5058949201939</c:v>
                </c:pt>
                <c:pt idx="234">
                  <c:v>67.1982217935734</c:v>
                </c:pt>
                <c:pt idx="235">
                  <c:v>66.8801956154734</c:v>
                </c:pt>
                <c:pt idx="236">
                  <c:v>66.5517374416411</c:v>
                </c:pt>
                <c:pt idx="237">
                  <c:v>66.2127692002798</c:v>
                </c:pt>
                <c:pt idx="238">
                  <c:v>65.8632138763942</c:v>
                </c:pt>
                <c:pt idx="239">
                  <c:v>65.5029957051995</c:v>
                </c:pt>
                <c:pt idx="240">
                  <c:v>65.1320403739569</c:v>
                </c:pt>
                <c:pt idx="241">
                  <c:v>64.7502752315343</c:v>
                </c:pt>
                <c:pt idx="242">
                  <c:v>64.3576295048967</c:v>
                </c:pt>
                <c:pt idx="243">
                  <c:v>63.9540345216493</c:v>
                </c:pt>
                <c:pt idx="244">
                  <c:v>63.539423937665</c:v>
                </c:pt>
                <c:pt idx="245">
                  <c:v>63.1137339687347</c:v>
                </c:pt>
                <c:pt idx="246">
                  <c:v>62.6769036250819</c:v>
                </c:pt>
                <c:pt idx="247">
                  <c:v>62.2288749474978</c:v>
                </c:pt>
                <c:pt idx="248">
                  <c:v>61.7695932437471</c:v>
                </c:pt>
                <c:pt idx="249">
                  <c:v>61.299007323819</c:v>
                </c:pt>
                <c:pt idx="250">
                  <c:v>60.8170697324999</c:v>
                </c:pt>
                <c:pt idx="251">
                  <c:v>60.3237369776793</c:v>
                </c:pt>
                <c:pt idx="252">
                  <c:v>59.8189697527188</c:v>
                </c:pt>
                <c:pt idx="253">
                  <c:v>59.3027331511685</c:v>
                </c:pt>
                <c:pt idx="254">
                  <c:v>58.7749968720597</c:v>
                </c:pt>
                <c:pt idx="255">
                  <c:v>58.2357354139894</c:v>
                </c:pt>
                <c:pt idx="256">
                  <c:v>57.6849282561867</c:v>
                </c:pt>
                <c:pt idx="257">
                  <c:v>57.1225600247818</c:v>
                </c:pt>
                <c:pt idx="258">
                  <c:v>56.5486206425216</c:v>
                </c:pt>
                <c:pt idx="259">
                  <c:v>55.9631054602465</c:v>
                </c:pt>
                <c:pt idx="260">
                  <c:v>55.3660153685321</c:v>
                </c:pt>
                <c:pt idx="261">
                  <c:v>54.7573568880201</c:v>
                </c:pt>
                <c:pt idx="262">
                  <c:v>54.1371422371206</c:v>
                </c:pt>
                <c:pt idx="263">
                  <c:v>53.5053893759457</c:v>
                </c:pt>
                <c:pt idx="264">
                  <c:v>52.86212202556</c:v>
                </c:pt>
                <c:pt idx="265">
                  <c:v>52.2073696618804</c:v>
                </c:pt>
                <c:pt idx="266">
                  <c:v>51.5411674838397</c:v>
                </c:pt>
                <c:pt idx="267">
                  <c:v>50.8635563557427</c:v>
                </c:pt>
                <c:pt idx="268">
                  <c:v>50.1745827240767</c:v>
                </c:pt>
                <c:pt idx="269">
                  <c:v>49.4742985094049</c:v>
                </c:pt>
                <c:pt idx="270">
                  <c:v>48.7627609743498</c:v>
                </c:pt>
                <c:pt idx="271">
                  <c:v>48.0400325690593</c:v>
                </c:pt>
                <c:pt idx="272">
                  <c:v>47.3061807559594</c:v>
                </c:pt>
                <c:pt idx="273">
                  <c:v>46.5612778159858</c:v>
                </c:pt>
                <c:pt idx="274">
                  <c:v>45.8054006388818</c:v>
                </c:pt>
                <c:pt idx="275">
                  <c:v>45.0386305005209</c:v>
                </c:pt>
                <c:pt idx="276">
                  <c:v>44.2610528305638</c:v>
                </c:pt>
                <c:pt idx="277">
                  <c:v>43.4727569740655</c:v>
                </c:pt>
                <c:pt idx="278">
                  <c:v>42.673835950924</c:v>
                </c:pt>
                <c:pt idx="279">
                  <c:v>41.8643862172813</c:v>
                </c:pt>
                <c:pt idx="280">
                  <c:v>41.0445074331267</c:v>
                </c:pt>
                <c:pt idx="281">
                  <c:v>40.2143022404722</c:v>
                </c:pt>
                <c:pt idx="282">
                  <c:v>39.3738760564542</c:v>
                </c:pt>
                <c:pt idx="283">
                  <c:v>38.523336885676</c:v>
                </c:pt>
                <c:pt idx="284">
                  <c:v>37.6627951559458</c:v>
                </c:pt>
                <c:pt idx="285">
                  <c:v>36.7923635813514</c:v>
                </c:pt>
                <c:pt idx="286">
                  <c:v>35.9121570562941</c:v>
                </c:pt>
                <c:pt idx="287">
                  <c:v>35.0222925837191</c:v>
                </c:pt>
                <c:pt idx="288">
                  <c:v>34.1228892403181</c:v>
                </c:pt>
                <c:pt idx="289">
                  <c:v>33.2140681809433</c:v>
                </c:pt>
                <c:pt idx="290">
                  <c:v>32.2959526838903</c:v>
                </c:pt>
                <c:pt idx="291">
                  <c:v>31.3686682380572</c:v>
                </c:pt>
                <c:pt idx="292">
                  <c:v>30.4323426723185</c:v>
                </c:pt>
                <c:pt idx="293">
                  <c:v>29.4871063267579</c:v>
                </c:pt>
                <c:pt idx="294">
                  <c:v>28.5330922646736</c:v>
                </c:pt>
                <c:pt idx="295">
                  <c:v>27.5704365236054</c:v>
                </c:pt>
                <c:pt idx="296">
                  <c:v>26.5992784029093</c:v>
                </c:pt>
                <c:pt idx="297">
                  <c:v>25.6197607847885</c:v>
                </c:pt>
                <c:pt idx="298">
                  <c:v>24.6320304850837</c:v>
                </c:pt>
                <c:pt idx="299">
                  <c:v>23.6362386295766</c:v>
                </c:pt>
                <c:pt idx="300">
                  <c:v>22.6325410511169</c:v>
                </c:pt>
                <c:pt idx="301">
                  <c:v>21.6210987024807</c:v>
                </c:pt>
                <c:pt idx="302">
                  <c:v>20.6020780795894</c:v>
                </c:pt>
                <c:pt idx="303">
                  <c:v>19.5756516494961</c:v>
                </c:pt>
                <c:pt idx="304">
                  <c:v>18.5419982774574</c:v>
                </c:pt>
                <c:pt idx="305">
                  <c:v>17.5013036473791</c:v>
                </c:pt>
                <c:pt idx="306">
                  <c:v>16.453760670014</c:v>
                </c:pt>
                <c:pt idx="307">
                  <c:v>15.3995698734376</c:v>
                </c:pt>
                <c:pt idx="308">
                  <c:v>14.3389397705776</c:v>
                </c:pt>
                <c:pt idx="309">
                  <c:v>13.2720871988869</c:v>
                </c:pt>
                <c:pt idx="310">
                  <c:v>12.1992376276124</c:v>
                </c:pt>
                <c:pt idx="311">
                  <c:v>11.1206254285401</c:v>
                </c:pt>
                <c:pt idx="312">
                  <c:v>10.0364941065352</c:v>
                </c:pt>
                <c:pt idx="313">
                  <c:v>8.94709648670813</c:v>
                </c:pt>
                <c:pt idx="314">
                  <c:v>7.85269485549031</c:v>
                </c:pt>
                <c:pt idx="315">
                  <c:v>6.75356105344036</c:v>
                </c:pt>
                <c:pt idx="316">
                  <c:v>5.64997651804912</c:v>
                </c:pt>
                <c:pt idx="317">
                  <c:v>4.54223227532308</c:v>
                </c:pt>
                <c:pt idx="318">
                  <c:v>3.43062887934261</c:v>
                </c:pt>
                <c:pt idx="319">
                  <c:v>2.31547629942531</c:v>
                </c:pt>
                <c:pt idx="320">
                  <c:v>1.1970937549105</c:v>
                </c:pt>
                <c:pt idx="321">
                  <c:v>0.0758094979334357</c:v>
                </c:pt>
                <c:pt idx="322">
                  <c:v>-1.04803945513075</c:v>
                </c:pt>
                <c:pt idx="323">
                  <c:v>-2.17410764258516</c:v>
                </c:pt>
                <c:pt idx="324">
                  <c:v>-3.30204152546368</c:v>
                </c:pt>
                <c:pt idx="325">
                  <c:v>-4.43147990328607</c:v>
                </c:pt>
                <c:pt idx="326">
                  <c:v>-5.56205437585048</c:v>
                </c:pt>
                <c:pt idx="327">
                  <c:v>-6.69338984925325</c:v>
                </c:pt>
                <c:pt idx="328">
                  <c:v>-7.82510508411888</c:v>
                </c:pt>
                <c:pt idx="329">
                  <c:v>-8.95681328389329</c:v>
                </c:pt>
                <c:pt idx="330">
                  <c:v>-10.0881227208682</c:v>
                </c:pt>
                <c:pt idx="331">
                  <c:v>-11.2186373974872</c:v>
                </c:pt>
                <c:pt idx="332">
                  <c:v>-12.3479577402754</c:v>
                </c:pt>
                <c:pt idx="333">
                  <c:v>-13.475681323626</c:v>
                </c:pt>
                <c:pt idx="334">
                  <c:v>-14.6014036204652</c:v>
                </c:pt>
                <c:pt idx="335">
                  <c:v>-15.7247187766816</c:v>
                </c:pt>
                <c:pt idx="336">
                  <c:v>-16.8452204060024</c:v>
                </c:pt>
                <c:pt idx="337">
                  <c:v>-17.9625024018549</c:v>
                </c:pt>
                <c:pt idx="338">
                  <c:v>-19.0761597625482</c:v>
                </c:pt>
                <c:pt idx="339">
                  <c:v>-20.1857894259824</c:v>
                </c:pt>
                <c:pt idx="340">
                  <c:v>-21.2909911099095</c:v>
                </c:pt>
                <c:pt idx="341">
                  <c:v>-22.3913681536688</c:v>
                </c:pt>
                <c:pt idx="342">
                  <c:v>-23.4865283571812</c:v>
                </c:pt>
                <c:pt idx="343">
                  <c:v>-24.5760848129298</c:v>
                </c:pt>
                <c:pt idx="344">
                  <c:v>-25.6596567265943</c:v>
                </c:pt>
                <c:pt idx="345">
                  <c:v>-26.7368702220087</c:v>
                </c:pt>
                <c:pt idx="346">
                  <c:v>-27.8073591261194</c:v>
                </c:pt>
                <c:pt idx="347">
                  <c:v>-28.8707657297348</c:v>
                </c:pt>
                <c:pt idx="348">
                  <c:v>-29.9267415199397</c:v>
                </c:pt>
                <c:pt idx="349">
                  <c:v>-30.9749478802411</c:v>
                </c:pt>
                <c:pt idx="350">
                  <c:v>-32.0150567547143</c:v>
                </c:pt>
                <c:pt idx="351">
                  <c:v>-33.0467512726725</c:v>
                </c:pt>
                <c:pt idx="352">
                  <c:v>-34.0697263306873</c:v>
                </c:pt>
                <c:pt idx="353">
                  <c:v>-35.0836891291082</c:v>
                </c:pt>
                <c:pt idx="354">
                  <c:v>-36.0883596606086</c:v>
                </c:pt>
                <c:pt idx="355">
                  <c:v>-37.083471148664</c:v>
                </c:pt>
                <c:pt idx="356">
                  <c:v>-38.0687704342912</c:v>
                </c:pt>
                <c:pt idx="357">
                  <c:v>-39.0440183097911</c:v>
                </c:pt>
                <c:pt idx="358">
                  <c:v>-40.0089897986872</c:v>
                </c:pt>
                <c:pt idx="359">
                  <c:v>-40.9634743814659</c:v>
                </c:pt>
                <c:pt idx="360">
                  <c:v>-41.9072761671765</c:v>
                </c:pt>
                <c:pt idx="361">
                  <c:v>-42.8402140113401</c:v>
                </c:pt>
                <c:pt idx="362">
                  <c:v>-43.7621215810448</c:v>
                </c:pt>
                <c:pt idx="363">
                  <c:v>-44.6728473684495</c:v>
                </c:pt>
                <c:pt idx="364">
                  <c:v>-45.5722546543</c:v>
                </c:pt>
                <c:pt idx="365">
                  <c:v>-46.460221423356</c:v>
                </c:pt>
                <c:pt idx="366">
                  <c:v>-47.3366402339244</c:v>
                </c:pt>
                <c:pt idx="367">
                  <c:v>-48.2014180439456</c:v>
                </c:pt>
                <c:pt idx="368">
                  <c:v>-49.0544759962778</c:v>
                </c:pt>
                <c:pt idx="369">
                  <c:v>-49.8957491660192</c:v>
                </c:pt>
                <c:pt idx="370">
                  <c:v>-50.7251862728211</c:v>
                </c:pt>
                <c:pt idx="371">
                  <c:v>-51.5427493612648</c:v>
                </c:pt>
                <c:pt idx="372">
                  <c:v>-52.3484134524172</c:v>
                </c:pt>
                <c:pt idx="373">
                  <c:v>-53.1421661697271</c:v>
                </c:pt>
                <c:pt idx="374">
                  <c:v>-53.9240073424058</c:v>
                </c:pt>
                <c:pt idx="375">
                  <c:v>-54.693948589411</c:v>
                </c:pt>
                <c:pt idx="376">
                  <c:v>-55.4520128870833</c:v>
                </c:pt>
                <c:pt idx="377">
                  <c:v>-56.1982341234139</c:v>
                </c:pt>
                <c:pt idx="378">
                  <c:v>-56.9326566417984</c:v>
                </c:pt>
                <c:pt idx="379">
                  <c:v>-57.6553347770292</c:v>
                </c:pt>
                <c:pt idx="380">
                  <c:v>-58.3663323861195</c:v>
                </c:pt>
                <c:pt idx="381">
                  <c:v>-59.0657223764182</c:v>
                </c:pt>
                <c:pt idx="382">
                  <c:v>-59.7535862333098</c:v>
                </c:pt>
                <c:pt idx="383">
                  <c:v>-60.4300135496254</c:v>
                </c:pt>
                <c:pt idx="384">
                  <c:v>-61.095101558725</c:v>
                </c:pt>
                <c:pt idx="385">
                  <c:v>-61.7489546730424</c:v>
                </c:pt>
                <c:pt idx="386">
                  <c:v>-62.3916840297031</c:v>
                </c:pt>
                <c:pt idx="387">
                  <c:v>-63.0234070446725</c:v>
                </c:pt>
                <c:pt idx="388">
                  <c:v>-63.644246976712</c:v>
                </c:pt>
                <c:pt idx="389">
                  <c:v>-64.2543325022673</c:v>
                </c:pt>
                <c:pt idx="390">
                  <c:v>-64.8537973022623</c:v>
                </c:pt>
                <c:pt idx="391">
                  <c:v>-65.4427796616197</c:v>
                </c:pt>
                <c:pt idx="392">
                  <c:v>-66.0214220821921</c:v>
                </c:pt>
                <c:pt idx="393">
                  <c:v>-66.5898709096577</c:v>
                </c:pt>
                <c:pt idx="394">
                  <c:v>-67.148275974814</c:v>
                </c:pt>
                <c:pt idx="395">
                  <c:v>-67.6967902495847</c:v>
                </c:pt>
                <c:pt idx="396">
                  <c:v>-68.2355695179577</c:v>
                </c:pt>
                <c:pt idx="397">
                  <c:v>-68.7647720619697</c:v>
                </c:pt>
                <c:pt idx="398">
                  <c:v>-69.2845583627715</c:v>
                </c:pt>
                <c:pt idx="399">
                  <c:v>-69.7950908167291</c:v>
                </c:pt>
                <c:pt idx="400">
                  <c:v>-70.296533466442</c:v>
                </c:pt>
                <c:pt idx="401">
                  <c:v>-70.7890517465069</c:v>
                </c:pt>
                <c:pt idx="402">
                  <c:v>-71.2728122437867</c:v>
                </c:pt>
                <c:pt idx="403">
                  <c:v>-71.7479824719162</c:v>
                </c:pt>
                <c:pt idx="404">
                  <c:v>-72.2147306597172</c:v>
                </c:pt>
                <c:pt idx="405">
                  <c:v>-72.6732255531725</c:v>
                </c:pt>
                <c:pt idx="406">
                  <c:v>-73.123636230579</c:v>
                </c:pt>
                <c:pt idx="407">
                  <c:v>-73.566131930469</c:v>
                </c:pt>
                <c:pt idx="408">
                  <c:v>-74.0008818918827</c:v>
                </c:pt>
                <c:pt idx="409">
                  <c:v>-74.4280552065502</c:v>
                </c:pt>
                <c:pt idx="410">
                  <c:v>-74.8478206825375</c:v>
                </c:pt>
                <c:pt idx="411">
                  <c:v>-75.2603467189037</c:v>
                </c:pt>
                <c:pt idx="412">
                  <c:v>-75.6658011909124</c:v>
                </c:pt>
                <c:pt idx="413">
                  <c:v>-76.0643513453394</c:v>
                </c:pt>
                <c:pt idx="414">
                  <c:v>-76.4561637054261</c:v>
                </c:pt>
                <c:pt idx="415">
                  <c:v>-76.8414039850268</c:v>
                </c:pt>
                <c:pt idx="416">
                  <c:v>-77.2202370115054</c:v>
                </c:pt>
                <c:pt idx="417">
                  <c:v>-77.5928266569515</c:v>
                </c:pt>
                <c:pt idx="418">
                  <c:v>-77.9593357772845</c:v>
                </c:pt>
                <c:pt idx="419">
                  <c:v>-78.3199261588353</c:v>
                </c:pt>
                <c:pt idx="420">
                  <c:v>-78.6747584719994</c:v>
                </c:pt>
                <c:pt idx="421">
                  <c:v>-79.023992231574</c:v>
                </c:pt>
                <c:pt idx="422">
                  <c:v>-79.3677857633947</c:v>
                </c:pt>
                <c:pt idx="423">
                  <c:v>-79.7062961769141</c:v>
                </c:pt>
                <c:pt idx="424">
                  <c:v>-80.0396793433649</c:v>
                </c:pt>
                <c:pt idx="425">
                  <c:v>-80.3680898791731</c:v>
                </c:pt>
                <c:pt idx="426">
                  <c:v>-80.6916811342961</c:v>
                </c:pt>
                <c:pt idx="427">
                  <c:v>-81.0106051851745</c:v>
                </c:pt>
                <c:pt idx="428">
                  <c:v>-81.325012832003</c:v>
                </c:pt>
                <c:pt idx="429">
                  <c:v>-81.6350536000344</c:v>
                </c:pt>
                <c:pt idx="430">
                  <c:v>-81.9408757446469</c:v>
                </c:pt>
                <c:pt idx="431">
                  <c:v>-82.2426262599187</c:v>
                </c:pt>
                <c:pt idx="432">
                  <c:v>-82.540450890462</c:v>
                </c:pt>
                <c:pt idx="433">
                  <c:v>-82.8344941462849</c:v>
                </c:pt>
                <c:pt idx="434">
                  <c:v>-83.1248993204584</c:v>
                </c:pt>
                <c:pt idx="435">
                  <c:v>-83.4118085093797</c:v>
                </c:pt>
                <c:pt idx="436">
                  <c:v>-83.6953626354282</c:v>
                </c:pt>
                <c:pt idx="437">
                  <c:v>-83.9757014718292</c:v>
                </c:pt>
                <c:pt idx="438">
                  <c:v>-84.2529636695415</c:v>
                </c:pt>
                <c:pt idx="439">
                  <c:v>-84.5272867859994</c:v>
                </c:pt>
                <c:pt idx="440">
                  <c:v>-84.798807315547</c:v>
                </c:pt>
                <c:pt idx="441">
                  <c:v>-85.0676607214104</c:v>
                </c:pt>
                <c:pt idx="442">
                  <c:v>-85.3339814690611</c:v>
                </c:pt>
                <c:pt idx="443">
                  <c:v>-85.5979030608329</c:v>
                </c:pt>
                <c:pt idx="444">
                  <c:v>-85.8595580716565</c:v>
                </c:pt>
                <c:pt idx="445">
                  <c:v>-86.1190781857889</c:v>
                </c:pt>
                <c:pt idx="446">
                  <c:v>-86.3765942344146</c:v>
                </c:pt>
                <c:pt idx="447">
                  <c:v>-86.6322362340028</c:v>
                </c:pt>
                <c:pt idx="448">
                  <c:v>-86.8861334253109</c:v>
                </c:pt>
                <c:pt idx="449">
                  <c:v>-87.138414312926</c:v>
                </c:pt>
                <c:pt idx="450">
                  <c:v>-87.3892067052419</c:v>
                </c:pt>
                <c:pt idx="451">
                  <c:v>-87.6386377547719</c:v>
                </c:pt>
                <c:pt idx="452">
                  <c:v>-87.8868339986991</c:v>
                </c:pt>
                <c:pt idx="453">
                  <c:v>-88.1339213995705</c:v>
                </c:pt>
                <c:pt idx="454">
                  <c:v>-88.3800253860411</c:v>
                </c:pt>
                <c:pt idx="455">
                  <c:v>-88.625270893576</c:v>
                </c:pt>
                <c:pt idx="456">
                  <c:v>-88.8697824050209</c:v>
                </c:pt>
                <c:pt idx="457">
                  <c:v>-89.1136839909489</c:v>
                </c:pt>
                <c:pt idx="458">
                  <c:v>-89.3570993496954</c:v>
                </c:pt>
                <c:pt idx="459">
                  <c:v>-89.600151846988</c:v>
                </c:pt>
                <c:pt idx="460">
                  <c:v>-89.8429645550823</c:v>
                </c:pt>
                <c:pt idx="461">
                  <c:v>-90.0856602913084</c:v>
                </c:pt>
                <c:pt idx="462">
                  <c:v>-90.3283616559353</c:v>
                </c:pt>
                <c:pt idx="463">
                  <c:v>-90.5711910692552</c:v>
                </c:pt>
                <c:pt idx="464">
                  <c:v>-90.8142708077887</c:v>
                </c:pt>
                <c:pt idx="465">
                  <c:v>-91.0577230395076</c:v>
                </c:pt>
                <c:pt idx="466">
                  <c:v>-91.3016698579712</c:v>
                </c:pt>
                <c:pt idx="467">
                  <c:v>-91.5462333152626</c:v>
                </c:pt>
                <c:pt idx="468">
                  <c:v>-91.7915354536138</c:v>
                </c:pt>
                <c:pt idx="469">
                  <c:v>-92.0376983355974</c:v>
                </c:pt>
                <c:pt idx="470">
                  <c:v>-92.2848440727629</c:v>
                </c:pt>
                <c:pt idx="471">
                  <c:v>-92.5330948525833</c:v>
                </c:pt>
                <c:pt idx="472">
                  <c:v>-92.7825729635789</c:v>
                </c:pt>
                <c:pt idx="473">
                  <c:v>-93.0334008184719</c:v>
                </c:pt>
                <c:pt idx="474">
                  <c:v>-93.2857009752223</c:v>
                </c:pt>
                <c:pt idx="475">
                  <c:v>-93.5395961557869</c:v>
                </c:pt>
                <c:pt idx="476">
                  <c:v>-93.7952092624337</c:v>
                </c:pt>
                <c:pt idx="477">
                  <c:v>-94.0526633914388</c:v>
                </c:pt>
                <c:pt idx="478">
                  <c:v>-94.3120818439804</c:v>
                </c:pt>
                <c:pt idx="479">
                  <c:v>-94.5735881340381</c:v>
                </c:pt>
                <c:pt idx="480">
                  <c:v>-94.8373059930943</c:v>
                </c:pt>
                <c:pt idx="481">
                  <c:v>-95.1033593714249</c:v>
                </c:pt>
                <c:pt idx="482">
                  <c:v>-95.3718724357588</c:v>
                </c:pt>
                <c:pt idx="483">
                  <c:v>-95.6429695630689</c:v>
                </c:pt>
                <c:pt idx="484">
                  <c:v>-95.9167753302549</c:v>
                </c:pt>
                <c:pt idx="485">
                  <c:v>-96.1934144994593</c:v>
                </c:pt>
                <c:pt idx="486">
                  <c:v>-96.4730119987526</c:v>
                </c:pt>
                <c:pt idx="487">
                  <c:v>-96.755692897911</c:v>
                </c:pt>
                <c:pt idx="488">
                  <c:v>-97.0415823789949</c:v>
                </c:pt>
                <c:pt idx="489">
                  <c:v>-97.3308057014341</c:v>
                </c:pt>
                <c:pt idx="490">
                  <c:v>-97.6234881613054</c:v>
                </c:pt>
                <c:pt idx="491">
                  <c:v>-97.919755044485</c:v>
                </c:pt>
                <c:pt idx="492">
                  <c:v>-98.2197315733441</c:v>
                </c:pt>
                <c:pt idx="493">
                  <c:v>-98.5235428466494</c:v>
                </c:pt>
                <c:pt idx="494">
                  <c:v>-98.8313137723191</c:v>
                </c:pt>
                <c:pt idx="495">
                  <c:v>-99.1431689926809</c:v>
                </c:pt>
                <c:pt idx="496">
                  <c:v>-99.4592328018687</c:v>
                </c:pt>
                <c:pt idx="497">
                  <c:v>-99.7796290549921</c:v>
                </c:pt>
                <c:pt idx="498">
                  <c:v>-100.104481068709</c:v>
                </c:pt>
                <c:pt idx="499">
                  <c:v>-100.433911512827</c:v>
                </c:pt>
                <c:pt idx="500">
                  <c:v>-100.768042292571</c:v>
                </c:pt>
                <c:pt idx="501">
                  <c:v>-101.106994421138</c:v>
                </c:pt>
                <c:pt idx="502">
                  <c:v>-101.450887882185</c:v>
                </c:pt>
                <c:pt idx="503">
                  <c:v>-101.799841481902</c:v>
                </c:pt>
                <c:pt idx="504">
                  <c:v>-102.153972690316</c:v>
                </c:pt>
                <c:pt idx="505">
                  <c:v>-102.513397471521</c:v>
                </c:pt>
                <c:pt idx="506">
                  <c:v>-102.878230102518</c:v>
                </c:pt>
                <c:pt idx="507">
                  <c:v>-103.248582980398</c:v>
                </c:pt>
                <c:pt idx="508">
                  <c:v>-103.624566417613</c:v>
                </c:pt>
                <c:pt idx="509">
                  <c:v>-104.006288425137</c:v>
                </c:pt>
                <c:pt idx="510">
                  <c:v>-104.393854483344</c:v>
                </c:pt>
                <c:pt idx="511">
                  <c:v>-104.787367300479</c:v>
                </c:pt>
                <c:pt idx="512">
                  <c:v>-105.186926558676</c:v>
                </c:pt>
                <c:pt idx="513">
                  <c:v>-105.59262864751</c:v>
                </c:pt>
                <c:pt idx="514">
                  <c:v>-106.00456638515</c:v>
                </c:pt>
                <c:pt idx="515">
                  <c:v>-106.422828727289</c:v>
                </c:pt>
                <c:pt idx="516">
                  <c:v>-106.84750046405</c:v>
                </c:pt>
                <c:pt idx="517">
                  <c:v>-107.278661905236</c:v>
                </c:pt>
                <c:pt idx="518">
                  <c:v>-107.716388554331</c:v>
                </c:pt>
                <c:pt idx="519">
                  <c:v>-108.160750771821</c:v>
                </c:pt>
                <c:pt idx="520">
                  <c:v>-108.611813428494</c:v>
                </c:pt>
                <c:pt idx="521">
                  <c:v>-109.069635549513</c:v>
                </c:pt>
                <c:pt idx="522">
                  <c:v>-109.534269950215</c:v>
                </c:pt>
                <c:pt idx="523">
                  <c:v>-110.005762864699</c:v>
                </c:pt>
                <c:pt idx="524">
                  <c:v>-110.484153568447</c:v>
                </c:pt>
                <c:pt idx="525">
                  <c:v>-110.969473996363</c:v>
                </c:pt>
                <c:pt idx="526">
                  <c:v>-111.461748357783</c:v>
                </c:pt>
                <c:pt idx="527">
                  <c:v>-111.960992750176</c:v>
                </c:pt>
                <c:pt idx="528">
                  <c:v>-112.467214773425</c:v>
                </c:pt>
                <c:pt idx="529">
                  <c:v>-112.980413146735</c:v>
                </c:pt>
                <c:pt idx="530">
                  <c:v>-113.500577330392</c:v>
                </c:pt>
                <c:pt idx="531">
                  <c:v>-114.027687154756</c:v>
                </c:pt>
                <c:pt idx="532">
                  <c:v>-114.561712459025</c:v>
                </c:pt>
                <c:pt idx="533">
                  <c:v>-115.102612742446</c:v>
                </c:pt>
                <c:pt idx="534">
                  <c:v>-115.650336830791</c:v>
                </c:pt>
                <c:pt idx="535">
                  <c:v>-116.204822561037</c:v>
                </c:pt>
                <c:pt idx="536">
                  <c:v>-116.765996487265</c:v>
                </c:pt>
                <c:pt idx="537">
                  <c:v>-117.333773610899</c:v>
                </c:pt>
                <c:pt idx="538">
                  <c:v>-117.908057138429</c:v>
                </c:pt>
                <c:pt idx="539">
                  <c:v>-118.488738269813</c:v>
                </c:pt>
                <c:pt idx="540">
                  <c:v>-119.075696020705</c:v>
                </c:pt>
                <c:pt idx="541">
                  <c:v>-119.668797081657</c:v>
                </c:pt>
              </c:numCache>
            </c:numRef>
          </c:yVal>
          <c:smooth val="1"/>
        </c:ser>
        <c:dLbls>
          <c:showLegendKey val="0"/>
          <c:showVal val="0"/>
          <c:showCatName val="0"/>
          <c:showSerName val="0"/>
          <c:showPercent val="0"/>
          <c:showBubbleSize val="0"/>
        </c:dLbls>
        <c:axId val="175150592"/>
        <c:axId val="175127936"/>
      </c:scatterChart>
      <c:valAx>
        <c:axId val="174189952"/>
        <c:scaling>
          <c:logBase val="10"/>
          <c:orientation val="minMax"/>
          <c:max val="20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p>
        </c:txPr>
        <c:crossAx val="175126016"/>
        <c:crosses val="autoZero"/>
        <c:crossBetween val="midCat"/>
      </c:valAx>
      <c:valAx>
        <c:axId val="175126016"/>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solidFill>
                      <a:srgbClr val="FF0000"/>
                    </a:solidFill>
                  </a:rPr>
                  <a:t>Gain</a:t>
                </a:r>
                <a:r>
                  <a:rPr lang="en-US" baseline="0">
                    <a:solidFill>
                      <a:srgbClr val="FF0000"/>
                    </a:solidFill>
                  </a:rPr>
                  <a:t> (dB)</a:t>
                </a:r>
                <a:endParaRPr lang="en-US">
                  <a:solidFill>
                    <a:srgbClr val="FF0000"/>
                  </a:solidFill>
                </a:endParaRPr>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1" i="0" u="none" strike="noStrike" kern="1200" baseline="0">
                <a:solidFill>
                  <a:srgbClr val="FF0000"/>
                </a:solidFill>
                <a:latin typeface="+mn-lt"/>
                <a:ea typeface="+mn-ea"/>
                <a:cs typeface="+mn-cs"/>
              </a:defRPr>
            </a:pPr>
          </a:p>
        </c:txPr>
        <c:crossAx val="174189952"/>
        <c:crosses val="autoZero"/>
        <c:crossBetween val="midCat"/>
        <c:majorUnit val="20"/>
        <c:minorUnit val="10"/>
      </c:valAx>
      <c:valAx>
        <c:axId val="175150592"/>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127936"/>
        <c:crosses val="autoZero"/>
        <c:crossBetween val="midCat"/>
      </c:valAx>
      <c:valAx>
        <c:axId val="175127936"/>
        <c:scaling>
          <c:orientation val="minMax"/>
          <c:max val="180"/>
          <c:min val="-180"/>
        </c:scaling>
        <c:delete val="0"/>
        <c:axPos val="r"/>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Phase (deg)</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1" i="0" u="none" strike="noStrike" kern="1200" baseline="0">
                <a:solidFill>
                  <a:schemeClr val="tx1">
                    <a:lumMod val="95000"/>
                    <a:lumOff val="5000"/>
                  </a:schemeClr>
                </a:solidFill>
                <a:latin typeface="+mn-lt"/>
                <a:ea typeface="+mn-ea"/>
                <a:cs typeface="+mn-cs"/>
              </a:defRPr>
            </a:pPr>
          </a:p>
        </c:txPr>
        <c:crossAx val="175150592"/>
        <c:crosses val="max"/>
        <c:crossBetween val="midCat"/>
        <c:majorUnit val="90"/>
        <c:minorUnit val="45"/>
      </c:valAx>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0.613925365103712"/>
          <c:y val="0.00703810127999403"/>
          <c:w val="0.284975005846066"/>
          <c:h val="0.0796438656068465"/>
        </c:manualLayout>
      </c:layout>
      <c:overlay val="1"/>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4a1fb8a-f823-47d5-a6fb-4a0156a917a1}"/>
      </c:ext>
    </c:extLst>
  </c:chart>
  <c:spPr>
    <a:ln w="9525" cap="flat" cmpd="sng" algn="ctr">
      <a:noFill/>
      <a:prstDash val="solid"/>
      <a:round/>
    </a:ln>
  </c:spPr>
  <c:txPr>
    <a:bodyPr/>
    <a:lstStyle/>
    <a:p>
      <a:pPr>
        <a:defRPr lang="pl-PL"/>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lgn="l">
              <a:defRPr lang="pl-PL" sz="2400" b="1" i="0" u="none" strike="noStrike" kern="1200" baseline="0">
                <a:solidFill>
                  <a:schemeClr val="tx1"/>
                </a:solidFill>
                <a:latin typeface="+mn-lt"/>
                <a:ea typeface="+mn-ea"/>
                <a:cs typeface="+mn-cs"/>
              </a:defRPr>
            </a:pPr>
            <a:r>
              <a:rPr lang="el-GR" sz="2400"/>
              <a:t>η</a:t>
            </a:r>
            <a:endParaRPr lang="en-US" sz="2400"/>
          </a:p>
        </c:rich>
      </c:tx>
      <c:layout>
        <c:manualLayout>
          <c:xMode val="edge"/>
          <c:yMode val="edge"/>
          <c:x val="0.0923218382951588"/>
          <c:y val="0.00670690811535882"/>
        </c:manualLayout>
      </c:layout>
      <c:overlay val="1"/>
    </c:title>
    <c:autoTitleDeleted val="0"/>
    <c:plotArea>
      <c:layout>
        <c:manualLayout>
          <c:layoutTarget val="inner"/>
          <c:xMode val="edge"/>
          <c:yMode val="edge"/>
          <c:x val="0.0943435758165804"/>
          <c:y val="0.127775049245605"/>
          <c:w val="0.821706919227287"/>
          <c:h val="0.749827708676531"/>
        </c:manualLayout>
      </c:layout>
      <c:scatterChart>
        <c:scatterStyle val="smooth"/>
        <c:varyColors val="0"/>
        <c:ser>
          <c:idx val="0"/>
          <c:order val="0"/>
          <c:tx>
            <c:strRef>
              <c:f>"Eff"</c:f>
              <c:strCache>
                <c:ptCount val="1"/>
                <c:pt idx="0">
                  <c:v>Eff</c:v>
                </c:pt>
              </c:strCache>
            </c:strRef>
          </c:tx>
          <c:spPr>
            <a:ln w="28575" cap="rnd" cmpd="sng" algn="ctr">
              <a:solidFill>
                <a:srgbClr val="FF0000"/>
              </a:solidFill>
              <a:prstDash val="solid"/>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Eff_vs_IOUT!$AT$7:$AT$157</c:f>
              <c:numCache>
                <c:formatCode>General</c:formatCode>
                <c:ptCount val="151"/>
                <c:pt idx="0">
                  <c:v>0</c:v>
                </c:pt>
                <c:pt idx="1">
                  <c:v>49.730312715273</c:v>
                </c:pt>
                <c:pt idx="2">
                  <c:v>65.8460678252945</c:v>
                </c:pt>
                <c:pt idx="3">
                  <c:v>73.7833005151075</c:v>
                </c:pt>
                <c:pt idx="4">
                  <c:v>78.7014450021683</c:v>
                </c:pt>
                <c:pt idx="5">
                  <c:v>81.8727337029403</c:v>
                </c:pt>
                <c:pt idx="6">
                  <c:v>84.1287768719601</c:v>
                </c:pt>
                <c:pt idx="7">
                  <c:v>85.8142702740571</c:v>
                </c:pt>
                <c:pt idx="8">
                  <c:v>87.1201259662472</c:v>
                </c:pt>
                <c:pt idx="9">
                  <c:v>88.1606285728306</c:v>
                </c:pt>
                <c:pt idx="10">
                  <c:v>89.0083747918034</c:v>
                </c:pt>
                <c:pt idx="11">
                  <c:v>89.7116931132123</c:v>
                </c:pt>
                <c:pt idx="12">
                  <c:v>90.3040024166113</c:v>
                </c:pt>
                <c:pt idx="13">
                  <c:v>90.8091498987654</c:v>
                </c:pt>
                <c:pt idx="14">
                  <c:v>91.2446089408246</c:v>
                </c:pt>
                <c:pt idx="15">
                  <c:v>91.6234752011929</c:v>
                </c:pt>
                <c:pt idx="16">
                  <c:v>91.9557567819312</c:v>
                </c:pt>
                <c:pt idx="17">
                  <c:v>92.2492335193325</c:v>
                </c:pt>
                <c:pt idx="18">
                  <c:v>92.5100444292433</c:v>
                </c:pt>
                <c:pt idx="19">
                  <c:v>92.7430986162862</c:v>
                </c:pt>
                <c:pt idx="20">
                  <c:v>92.9523685885396</c:v>
                </c:pt>
                <c:pt idx="21">
                  <c:v>93.1411034524972</c:v>
                </c:pt>
                <c:pt idx="22">
                  <c:v>93.3119864089571</c:v>
                </c:pt>
                <c:pt idx="23">
                  <c:v>93.4672528186342</c:v>
                </c:pt>
                <c:pt idx="24">
                  <c:v>93.6087798931287</c:v>
                </c:pt>
                <c:pt idx="25">
                  <c:v>93.7381556606606</c:v>
                </c:pt>
                <c:pt idx="26">
                  <c:v>93.8567325866079</c:v>
                </c:pt>
                <c:pt idx="27">
                  <c:v>93.9656696898488</c:v>
                </c:pt>
                <c:pt idx="28">
                  <c:v>94.0659659350686</c:v>
                </c:pt>
                <c:pt idx="29">
                  <c:v>94.1584869389665</c:v>
                </c:pt>
                <c:pt idx="30">
                  <c:v>94.2439865017993</c:v>
                </c:pt>
                <c:pt idx="31">
                  <c:v>94.3231240974318</c:v>
                </c:pt>
                <c:pt idx="32">
                  <c:v>94.3964791800727</c:v>
                </c:pt>
                <c:pt idx="33">
                  <c:v>94.4645629637442</c:v>
                </c:pt>
                <c:pt idx="34">
                  <c:v>94.5278281804355</c:v>
                </c:pt>
                <c:pt idx="35">
                  <c:v>94.5866772103473</c:v>
                </c:pt>
                <c:pt idx="36">
                  <c:v>94.6414688924962</c:v>
                </c:pt>
                <c:pt idx="37">
                  <c:v>94.6925242589893</c:v>
                </c:pt>
                <c:pt idx="38">
                  <c:v>94.7401313863273</c:v>
                </c:pt>
                <c:pt idx="39">
                  <c:v>94.7845495183882</c:v>
                </c:pt>
                <c:pt idx="40">
                  <c:v>94.8260125855422</c:v>
                </c:pt>
                <c:pt idx="41">
                  <c:v>94.8647322206261</c:v>
                </c:pt>
                <c:pt idx="42">
                  <c:v>94.9009003537474</c:v>
                </c:pt>
                <c:pt idx="43">
                  <c:v>94.934691452977</c:v>
                </c:pt>
                <c:pt idx="44">
                  <c:v>94.9662644660539</c:v>
                </c:pt>
                <c:pt idx="45">
                  <c:v>94.9957645086358</c:v>
                </c:pt>
                <c:pt idx="46">
                  <c:v>95.0233243368716</c:v>
                </c:pt>
                <c:pt idx="47">
                  <c:v>95.0490656357696</c:v>
                </c:pt>
                <c:pt idx="48">
                  <c:v>95.0731001496967</c:v>
                </c:pt>
                <c:pt idx="49">
                  <c:v>95.095530677125</c:v>
                </c:pt>
                <c:pt idx="50">
                  <c:v>95.1164519482699</c:v>
                </c:pt>
                <c:pt idx="51">
                  <c:v>95.1359514013956</c:v>
                </c:pt>
                <c:pt idx="52">
                  <c:v>95.1541098711809</c:v>
                </c:pt>
                <c:pt idx="53">
                  <c:v>95.17100220055</c:v>
                </c:pt>
                <c:pt idx="54">
                  <c:v>95.1866977857181</c:v>
                </c:pt>
                <c:pt idx="55">
                  <c:v>95.2012610628019</c:v>
                </c:pt>
                <c:pt idx="56">
                  <c:v>95.2147519431782</c:v>
                </c:pt>
                <c:pt idx="57">
                  <c:v>95.2272262037786</c:v>
                </c:pt>
                <c:pt idx="58">
                  <c:v>95.2387358376696</c:v>
                </c:pt>
                <c:pt idx="59">
                  <c:v>95.2493293695555</c:v>
                </c:pt>
                <c:pt idx="60">
                  <c:v>95.25905214023</c:v>
                </c:pt>
                <c:pt idx="61">
                  <c:v>95.2679465634855</c:v>
                </c:pt>
                <c:pt idx="62">
                  <c:v>95.2760523585412</c:v>
                </c:pt>
                <c:pt idx="63">
                  <c:v>95.28340676067</c:v>
                </c:pt>
                <c:pt idx="64">
                  <c:v>95.2900447123714</c:v>
                </c:pt>
                <c:pt idx="65">
                  <c:v>95.2959990371579</c:v>
                </c:pt>
                <c:pt idx="66">
                  <c:v>95.3013005977683</c:v>
                </c:pt>
                <c:pt idx="67">
                  <c:v>95.3059784404159</c:v>
                </c:pt>
                <c:pt idx="68">
                  <c:v>95.3100599264861</c:v>
                </c:pt>
                <c:pt idx="69">
                  <c:v>95.31357085294</c:v>
                </c:pt>
                <c:pt idx="70">
                  <c:v>95.3165355625389</c:v>
                </c:pt>
                <c:pt idx="71">
                  <c:v>95.3189770448784</c:v>
                </c:pt>
                <c:pt idx="72">
                  <c:v>95.3209170291145</c:v>
                </c:pt>
                <c:pt idx="73">
                  <c:v>95.3223760691683</c:v>
                </c:pt>
                <c:pt idx="74">
                  <c:v>95.3233736221107</c:v>
                </c:pt>
                <c:pt idx="75">
                  <c:v>95.3239281203565</c:v>
                </c:pt>
                <c:pt idx="76">
                  <c:v>95.3240570382298</c:v>
                </c:pt>
                <c:pt idx="77">
                  <c:v>95.3237769534079</c:v>
                </c:pt>
                <c:pt idx="78">
                  <c:v>95.3231036036951</c:v>
                </c:pt>
                <c:pt idx="79">
                  <c:v>95.3220519395378</c:v>
                </c:pt>
                <c:pt idx="80">
                  <c:v>95.3206361726473</c:v>
                </c:pt>
                <c:pt idx="81">
                  <c:v>95.318869821064</c:v>
                </c:pt>
                <c:pt idx="82">
                  <c:v>95.3167657509614</c:v>
                </c:pt>
                <c:pt idx="83">
                  <c:v>95.3143362154643</c:v>
                </c:pt>
                <c:pt idx="84">
                  <c:v>95.3115928907249</c:v>
                </c:pt>
                <c:pt idx="85">
                  <c:v>95.3085469094813</c:v>
                </c:pt>
                <c:pt idx="86">
                  <c:v>95.3052088923002</c:v>
                </c:pt>
                <c:pt idx="87">
                  <c:v>95.3015889766897</c:v>
                </c:pt>
                <c:pt idx="88">
                  <c:v>95.2976968442472</c:v>
                </c:pt>
                <c:pt idx="89">
                  <c:v>95.2935417459981</c:v>
                </c:pt>
                <c:pt idx="90">
                  <c:v>95.2891325260622</c:v>
                </c:pt>
                <c:pt idx="91">
                  <c:v>95.284477643777</c:v>
                </c:pt>
                <c:pt idx="92">
                  <c:v>95.2795851943919</c:v>
                </c:pt>
                <c:pt idx="93">
                  <c:v>95.2744629284423</c:v>
                </c:pt>
                <c:pt idx="94">
                  <c:v>95.269118269899</c:v>
                </c:pt>
                <c:pt idx="95">
                  <c:v>95.2635583331828</c:v>
                </c:pt>
                <c:pt idx="96">
                  <c:v>95.2577899391263</c:v>
                </c:pt>
                <c:pt idx="97">
                  <c:v>95.2518196299587</c:v>
                </c:pt>
                <c:pt idx="98">
                  <c:v>95.2456536833811</c:v>
                </c:pt>
                <c:pt idx="99">
                  <c:v>95.2392981257977</c:v>
                </c:pt>
                <c:pt idx="100">
                  <c:v>95.2327587447607</c:v>
                </c:pt>
                <c:pt idx="101">
                  <c:v>95.2260411006828</c:v>
                </c:pt>
                <c:pt idx="102">
                  <c:v>95.2191505378666</c:v>
                </c:pt>
                <c:pt idx="103">
                  <c:v>95.2120921948987</c:v>
                </c:pt>
                <c:pt idx="104">
                  <c:v>95.2048710144485</c:v>
                </c:pt>
                <c:pt idx="105">
                  <c:v>95.197491752513</c:v>
                </c:pt>
                <c:pt idx="106">
                  <c:v>95.1899589871424</c:v>
                </c:pt>
                <c:pt idx="107">
                  <c:v>95.1822771266812</c:v>
                </c:pt>
                <c:pt idx="108">
                  <c:v>95.1744504175552</c:v>
                </c:pt>
                <c:pt idx="109">
                  <c:v>95.1664829516344</c:v>
                </c:pt>
                <c:pt idx="110">
                  <c:v>95.1583786731963</c:v>
                </c:pt>
                <c:pt idx="111">
                  <c:v>95.1501413855176</c:v>
                </c:pt>
                <c:pt idx="112">
                  <c:v>95.1417747571152</c:v>
                </c:pt>
                <c:pt idx="113">
                  <c:v>95.1332823276579</c:v>
                </c:pt>
                <c:pt idx="114">
                  <c:v>95.124667513571</c:v>
                </c:pt>
                <c:pt idx="115">
                  <c:v>95.1159336133497</c:v>
                </c:pt>
                <c:pt idx="116">
                  <c:v>95.1070838126004</c:v>
                </c:pt>
                <c:pt idx="117">
                  <c:v>95.098121188826</c:v>
                </c:pt>
                <c:pt idx="118">
                  <c:v>95.0890487159689</c:v>
                </c:pt>
                <c:pt idx="119">
                  <c:v>95.0798692687276</c:v>
                </c:pt>
                <c:pt idx="120">
                  <c:v>95.070585626659</c:v>
                </c:pt>
                <c:pt idx="121">
                  <c:v>95.0612004780787</c:v>
                </c:pt>
                <c:pt idx="122">
                  <c:v>95.0517164237708</c:v>
                </c:pt>
                <c:pt idx="123">
                  <c:v>95.0421359805191</c:v>
                </c:pt>
                <c:pt idx="124">
                  <c:v>95.0324615844676</c:v>
                </c:pt>
                <c:pt idx="125">
                  <c:v>95.0226955943216</c:v>
                </c:pt>
                <c:pt idx="126">
                  <c:v>95.0128402943971</c:v>
                </c:pt>
                <c:pt idx="127">
                  <c:v>95.002897897528</c:v>
                </c:pt>
                <c:pt idx="128">
                  <c:v>94.9928705478371</c:v>
                </c:pt>
                <c:pt idx="129">
                  <c:v>94.9827603233796</c:v>
                </c:pt>
                <c:pt idx="130">
                  <c:v>94.9725692386657</c:v>
                </c:pt>
                <c:pt idx="131">
                  <c:v>94.9622992470682</c:v>
                </c:pt>
                <c:pt idx="132">
                  <c:v>94.9519522431216</c:v>
                </c:pt>
                <c:pt idx="133">
                  <c:v>94.941530064718</c:v>
                </c:pt>
                <c:pt idx="134">
                  <c:v>94.9310344952056</c:v>
                </c:pt>
                <c:pt idx="135">
                  <c:v>94.920467265395</c:v>
                </c:pt>
                <c:pt idx="136">
                  <c:v>94.9098300554766</c:v>
                </c:pt>
                <c:pt idx="137">
                  <c:v>94.8991244968552</c:v>
                </c:pt>
                <c:pt idx="138">
                  <c:v>94.888352173906</c:v>
                </c:pt>
                <c:pt idx="139">
                  <c:v>94.8775146256538</c:v>
                </c:pt>
                <c:pt idx="140">
                  <c:v>94.8666133473824</c:v>
                </c:pt>
                <c:pt idx="141">
                  <c:v>94.8556497921749</c:v>
                </c:pt>
                <c:pt idx="142">
                  <c:v>94.8446253723894</c:v>
                </c:pt>
                <c:pt idx="143">
                  <c:v>94.8335414610738</c:v>
                </c:pt>
                <c:pt idx="144">
                  <c:v>94.8223993933217</c:v>
                </c:pt>
                <c:pt idx="145">
                  <c:v>94.8112004675725</c:v>
                </c:pt>
                <c:pt idx="146">
                  <c:v>94.7999459468583</c:v>
                </c:pt>
                <c:pt idx="147">
                  <c:v>94.7886370600005</c:v>
                </c:pt>
                <c:pt idx="148">
                  <c:v>94.7772750027586</c:v>
                </c:pt>
                <c:pt idx="149">
                  <c:v>94.7658609389317</c:v>
                </c:pt>
                <c:pt idx="150">
                  <c:v>94.7543960014179</c:v>
                </c:pt>
              </c:numCache>
            </c:numRef>
          </c:yVal>
          <c:smooth val="0"/>
        </c:ser>
        <c:dLbls>
          <c:showLegendKey val="0"/>
          <c:showVal val="0"/>
          <c:showCatName val="0"/>
          <c:showSerName val="0"/>
          <c:showPercent val="0"/>
          <c:showBubbleSize val="0"/>
        </c:dLbls>
        <c:axId val="174861312"/>
        <c:axId val="174875392"/>
      </c:scatterChart>
      <c:scatterChart>
        <c:scatterStyle val="smooth"/>
        <c:varyColors val="0"/>
        <c:ser>
          <c:idx val="1"/>
          <c:order val="1"/>
          <c:tx>
            <c:strRef>
              <c:f>"MOSFET"</c:f>
              <c:strCache>
                <c:ptCount val="1"/>
                <c:pt idx="0">
                  <c:v>MOSFET</c:v>
                </c:pt>
              </c:strCache>
            </c:strRef>
          </c:tx>
          <c:spPr>
            <a:ln w="28575" cap="rnd" cmpd="sng" algn="ctr">
              <a:solidFill>
                <a:schemeClr val="tx2">
                  <a:lumMod val="75000"/>
                </a:schemeClr>
              </a:solidFill>
              <a:prstDash val="dashDot"/>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Eff_vs_IOUT!$AI$7:$AI$157</c:f>
              <c:numCache>
                <c:formatCode>General</c:formatCode>
                <c:ptCount val="151"/>
                <c:pt idx="0">
                  <c:v>0</c:v>
                </c:pt>
                <c:pt idx="1">
                  <c:v>-0.00148904155505086</c:v>
                </c:pt>
                <c:pt idx="2">
                  <c:v>-0.00284052198414943</c:v>
                </c:pt>
                <c:pt idx="3">
                  <c:v>-0.00405856214831163</c:v>
                </c:pt>
                <c:pt idx="4">
                  <c:v>-0.00606680835828659</c:v>
                </c:pt>
                <c:pt idx="5">
                  <c:v>-0.00754964688117306</c:v>
                </c:pt>
                <c:pt idx="6">
                  <c:v>-0.00900991595961509</c:v>
                </c:pt>
                <c:pt idx="7">
                  <c:v>-0.0104476155936127</c:v>
                </c:pt>
                <c:pt idx="8">
                  <c:v>-0.0118627457831658</c:v>
                </c:pt>
                <c:pt idx="9">
                  <c:v>-0.0132553065282745</c:v>
                </c:pt>
                <c:pt idx="10">
                  <c:v>-0.0146252978289387</c:v>
                </c:pt>
                <c:pt idx="11">
                  <c:v>-0.0159727196851586</c:v>
                </c:pt>
                <c:pt idx="12">
                  <c:v>-0.0172975720969339</c:v>
                </c:pt>
                <c:pt idx="13">
                  <c:v>-0.0185998550642648</c:v>
                </c:pt>
                <c:pt idx="14">
                  <c:v>-0.0198795685871513</c:v>
                </c:pt>
                <c:pt idx="15">
                  <c:v>-0.0211367126655933</c:v>
                </c:pt>
                <c:pt idx="16">
                  <c:v>-0.0223712872995909</c:v>
                </c:pt>
                <c:pt idx="17">
                  <c:v>-0.023583292489144</c:v>
                </c:pt>
                <c:pt idx="18">
                  <c:v>-0.0247727282342527</c:v>
                </c:pt>
                <c:pt idx="19">
                  <c:v>-0.025939594534917</c:v>
                </c:pt>
                <c:pt idx="20">
                  <c:v>-0.0270838913911368</c:v>
                </c:pt>
                <c:pt idx="21">
                  <c:v>-0.0282056188029121</c:v>
                </c:pt>
                <c:pt idx="22">
                  <c:v>-0.0293047767702431</c:v>
                </c:pt>
                <c:pt idx="23">
                  <c:v>-0.0303813652931295</c:v>
                </c:pt>
                <c:pt idx="24">
                  <c:v>-0.0314353843715715</c:v>
                </c:pt>
                <c:pt idx="25">
                  <c:v>-0.0324668340055691</c:v>
                </c:pt>
                <c:pt idx="26">
                  <c:v>-0.0334757141951223</c:v>
                </c:pt>
                <c:pt idx="27">
                  <c:v>-0.034462024940231</c:v>
                </c:pt>
                <c:pt idx="28">
                  <c:v>-0.0354257662408952</c:v>
                </c:pt>
                <c:pt idx="29">
                  <c:v>-0.036366938097115</c:v>
                </c:pt>
                <c:pt idx="30">
                  <c:v>-0.0372855405088904</c:v>
                </c:pt>
                <c:pt idx="31">
                  <c:v>-0.0381815734762213</c:v>
                </c:pt>
                <c:pt idx="32">
                  <c:v>-0.0390550369991078</c:v>
                </c:pt>
                <c:pt idx="33">
                  <c:v>-0.0399059310775498</c:v>
                </c:pt>
                <c:pt idx="34">
                  <c:v>-0.0407342557115474</c:v>
                </c:pt>
                <c:pt idx="35">
                  <c:v>-0.0415400109011005</c:v>
                </c:pt>
                <c:pt idx="36">
                  <c:v>-0.0423231966462092</c:v>
                </c:pt>
                <c:pt idx="37">
                  <c:v>-0.0430838129468735</c:v>
                </c:pt>
                <c:pt idx="38">
                  <c:v>-0.0438218598030933</c:v>
                </c:pt>
                <c:pt idx="39">
                  <c:v>-0.0445373372148686</c:v>
                </c:pt>
                <c:pt idx="40">
                  <c:v>-0.0452302451821995</c:v>
                </c:pt>
                <c:pt idx="41">
                  <c:v>-0.045900583705086</c:v>
                </c:pt>
                <c:pt idx="42">
                  <c:v>-0.046548352783528</c:v>
                </c:pt>
                <c:pt idx="43">
                  <c:v>-0.0471735524175256</c:v>
                </c:pt>
                <c:pt idx="44">
                  <c:v>-0.0477761826070787</c:v>
                </c:pt>
                <c:pt idx="45">
                  <c:v>-0.0483562433521874</c:v>
                </c:pt>
                <c:pt idx="46">
                  <c:v>-0.0489137346528517</c:v>
                </c:pt>
                <c:pt idx="47">
                  <c:v>-0.0494486565090715</c:v>
                </c:pt>
                <c:pt idx="48">
                  <c:v>-0.0499610089208468</c:v>
                </c:pt>
                <c:pt idx="49">
                  <c:v>-0.0504507918881778</c:v>
                </c:pt>
                <c:pt idx="50">
                  <c:v>-0.0509180054110643</c:v>
                </c:pt>
                <c:pt idx="51">
                  <c:v>-0.0513626494895063</c:v>
                </c:pt>
                <c:pt idx="52">
                  <c:v>-0.0517847241235039</c:v>
                </c:pt>
                <c:pt idx="53">
                  <c:v>-0.052184229313057</c:v>
                </c:pt>
                <c:pt idx="54">
                  <c:v>-0.0525611650581657</c:v>
                </c:pt>
                <c:pt idx="55">
                  <c:v>-0.0529155313588299</c:v>
                </c:pt>
                <c:pt idx="56">
                  <c:v>-0.0532473282150497</c:v>
                </c:pt>
                <c:pt idx="57">
                  <c:v>-0.0535565556268251</c:v>
                </c:pt>
                <c:pt idx="58">
                  <c:v>-0.053843213594156</c:v>
                </c:pt>
                <c:pt idx="59">
                  <c:v>-0.0541073021170425</c:v>
                </c:pt>
                <c:pt idx="60">
                  <c:v>-0.0543488211954845</c:v>
                </c:pt>
                <c:pt idx="61">
                  <c:v>-0.0545677708294821</c:v>
                </c:pt>
                <c:pt idx="62">
                  <c:v>-0.0547641510190352</c:v>
                </c:pt>
                <c:pt idx="63">
                  <c:v>-0.0549379617641439</c:v>
                </c:pt>
                <c:pt idx="64">
                  <c:v>-0.0550892030648082</c:v>
                </c:pt>
                <c:pt idx="65">
                  <c:v>-0.055217874921028</c:v>
                </c:pt>
                <c:pt idx="66">
                  <c:v>-0.0553239773328033</c:v>
                </c:pt>
                <c:pt idx="67">
                  <c:v>-0.0554075103001342</c:v>
                </c:pt>
                <c:pt idx="68">
                  <c:v>-0.0554684738230207</c:v>
                </c:pt>
                <c:pt idx="69">
                  <c:v>-0.0555068679014627</c:v>
                </c:pt>
                <c:pt idx="70">
                  <c:v>-0.0555226925354603</c:v>
                </c:pt>
                <c:pt idx="71">
                  <c:v>-0.0555159477250134</c:v>
                </c:pt>
                <c:pt idx="72">
                  <c:v>-0.0554866334701221</c:v>
                </c:pt>
                <c:pt idx="73">
                  <c:v>-0.0554347497707864</c:v>
                </c:pt>
                <c:pt idx="74">
                  <c:v>-0.0553602966270062</c:v>
                </c:pt>
                <c:pt idx="75">
                  <c:v>-0.0552632740387815</c:v>
                </c:pt>
                <c:pt idx="76">
                  <c:v>-0.0551436820061125</c:v>
                </c:pt>
                <c:pt idx="77">
                  <c:v>-0.0550015205289989</c:v>
                </c:pt>
                <c:pt idx="78">
                  <c:v>-0.054836789607441</c:v>
                </c:pt>
                <c:pt idx="79">
                  <c:v>-0.0546494892414385</c:v>
                </c:pt>
                <c:pt idx="80">
                  <c:v>-0.0544396194309917</c:v>
                </c:pt>
                <c:pt idx="81">
                  <c:v>-0.0542071801761003</c:v>
                </c:pt>
                <c:pt idx="82">
                  <c:v>-0.0539521714767646</c:v>
                </c:pt>
                <c:pt idx="83">
                  <c:v>-0.0536745933329844</c:v>
                </c:pt>
                <c:pt idx="84">
                  <c:v>-0.0533744457447598</c:v>
                </c:pt>
                <c:pt idx="85">
                  <c:v>-0.0530517287120907</c:v>
                </c:pt>
                <c:pt idx="86">
                  <c:v>-0.0527064422349772</c:v>
                </c:pt>
                <c:pt idx="87">
                  <c:v>-0.0523385863134192</c:v>
                </c:pt>
                <c:pt idx="88">
                  <c:v>-0.0519481609474168</c:v>
                </c:pt>
                <c:pt idx="89">
                  <c:v>-0.0515351661369699</c:v>
                </c:pt>
                <c:pt idx="90">
                  <c:v>-0.0510996018820786</c:v>
                </c:pt>
                <c:pt idx="91">
                  <c:v>-0.0506414681827428</c:v>
                </c:pt>
                <c:pt idx="92">
                  <c:v>-0.0501607650389626</c:v>
                </c:pt>
                <c:pt idx="93">
                  <c:v>-0.049657492450738</c:v>
                </c:pt>
                <c:pt idx="94">
                  <c:v>-0.0491316504180689</c:v>
                </c:pt>
                <c:pt idx="95">
                  <c:v>-0.0485832389409554</c:v>
                </c:pt>
                <c:pt idx="96">
                  <c:v>-0.0480122580193974</c:v>
                </c:pt>
                <c:pt idx="97">
                  <c:v>-0.047418707653395</c:v>
                </c:pt>
                <c:pt idx="98">
                  <c:v>-0.0468025878429482</c:v>
                </c:pt>
                <c:pt idx="99">
                  <c:v>-0.0461638985880568</c:v>
                </c:pt>
                <c:pt idx="100">
                  <c:v>-0.0455026398887211</c:v>
                </c:pt>
                <c:pt idx="101">
                  <c:v>-0.0448188117449409</c:v>
                </c:pt>
                <c:pt idx="102">
                  <c:v>-0.0441124141567162</c:v>
                </c:pt>
                <c:pt idx="103">
                  <c:v>-0.0433834471240472</c:v>
                </c:pt>
                <c:pt idx="104">
                  <c:v>-0.0426319106469336</c:v>
                </c:pt>
                <c:pt idx="105">
                  <c:v>-0.0418578047253757</c:v>
                </c:pt>
                <c:pt idx="106">
                  <c:v>-0.0410611293593733</c:v>
                </c:pt>
                <c:pt idx="107">
                  <c:v>-0.0402418845489264</c:v>
                </c:pt>
                <c:pt idx="108">
                  <c:v>-0.0394000702940351</c:v>
                </c:pt>
                <c:pt idx="109">
                  <c:v>-0.0385356865946993</c:v>
                </c:pt>
                <c:pt idx="110">
                  <c:v>-0.0376487334509191</c:v>
                </c:pt>
                <c:pt idx="111">
                  <c:v>-0.0367392108626944</c:v>
                </c:pt>
                <c:pt idx="112">
                  <c:v>-0.0358071188300254</c:v>
                </c:pt>
                <c:pt idx="113">
                  <c:v>-0.0348524573529119</c:v>
                </c:pt>
                <c:pt idx="114">
                  <c:v>-0.0338752264313539</c:v>
                </c:pt>
                <c:pt idx="115">
                  <c:v>-0.0328754260653515</c:v>
                </c:pt>
                <c:pt idx="116">
                  <c:v>-0.0318530562549047</c:v>
                </c:pt>
                <c:pt idx="117">
                  <c:v>-0.0308081170000133</c:v>
                </c:pt>
                <c:pt idx="118">
                  <c:v>-0.0297406083006776</c:v>
                </c:pt>
                <c:pt idx="119">
                  <c:v>-0.0286505301568973</c:v>
                </c:pt>
                <c:pt idx="120">
                  <c:v>-0.0275378825686727</c:v>
                </c:pt>
                <c:pt idx="121">
                  <c:v>-0.0264026655360036</c:v>
                </c:pt>
                <c:pt idx="122">
                  <c:v>-0.0252448790588901</c:v>
                </c:pt>
                <c:pt idx="123">
                  <c:v>-0.0240645231373321</c:v>
                </c:pt>
                <c:pt idx="124">
                  <c:v>-0.0228615977713297</c:v>
                </c:pt>
                <c:pt idx="125">
                  <c:v>-0.0216361029608829</c:v>
                </c:pt>
                <c:pt idx="126">
                  <c:v>-0.0203880387059915</c:v>
                </c:pt>
                <c:pt idx="127">
                  <c:v>-0.0191174050066558</c:v>
                </c:pt>
                <c:pt idx="128">
                  <c:v>-0.0178242018628756</c:v>
                </c:pt>
                <c:pt idx="129">
                  <c:v>-0.016508429274651</c:v>
                </c:pt>
                <c:pt idx="130">
                  <c:v>-0.0151700872419818</c:v>
                </c:pt>
                <c:pt idx="131">
                  <c:v>-0.0138091757648683</c:v>
                </c:pt>
                <c:pt idx="132">
                  <c:v>-0.0124256948433103</c:v>
                </c:pt>
                <c:pt idx="133">
                  <c:v>-0.0110196444773079</c:v>
                </c:pt>
                <c:pt idx="134">
                  <c:v>-0.00959102466686104</c:v>
                </c:pt>
                <c:pt idx="135">
                  <c:v>-0.00813983541196978</c:v>
                </c:pt>
                <c:pt idx="136">
                  <c:v>-0.006666076712634</c:v>
                </c:pt>
                <c:pt idx="137">
                  <c:v>-0.00516974856885377</c:v>
                </c:pt>
                <c:pt idx="138">
                  <c:v>-0.00365085098062923</c:v>
                </c:pt>
                <c:pt idx="139">
                  <c:v>-0.00210938394796012</c:v>
                </c:pt>
                <c:pt idx="140">
                  <c:v>-0.000545347470846613</c:v>
                </c:pt>
                <c:pt idx="141">
                  <c:v>0.00104125845071137</c:v>
                </c:pt>
                <c:pt idx="142">
                  <c:v>0.00265043381671384</c:v>
                </c:pt>
                <c:pt idx="143">
                  <c:v>0.00428217862716065</c:v>
                </c:pt>
                <c:pt idx="144">
                  <c:v>0.00593649288205195</c:v>
                </c:pt>
                <c:pt idx="145">
                  <c:v>0.00761337658138775</c:v>
                </c:pt>
                <c:pt idx="146">
                  <c:v>0.00931282972516795</c:v>
                </c:pt>
                <c:pt idx="147">
                  <c:v>0.0110348523133926</c:v>
                </c:pt>
                <c:pt idx="148">
                  <c:v>0.0127794443460617</c:v>
                </c:pt>
                <c:pt idx="149">
                  <c:v>0.0145466058231752</c:v>
                </c:pt>
                <c:pt idx="150">
                  <c:v>0.0163363367447332</c:v>
                </c:pt>
              </c:numCache>
            </c:numRef>
          </c:yVal>
          <c:smooth val="1"/>
        </c:ser>
        <c:ser>
          <c:idx val="2"/>
          <c:order val="2"/>
          <c:tx>
            <c:strRef>
              <c:f>"Diode"</c:f>
              <c:strCache>
                <c:ptCount val="1"/>
                <c:pt idx="0">
                  <c:v>Diode</c:v>
                </c:pt>
              </c:strCache>
            </c:strRef>
          </c:tx>
          <c:spPr>
            <a:ln w="28575" cap="rnd" cmpd="sng" algn="ctr">
              <a:solidFill>
                <a:schemeClr val="bg2">
                  <a:lumMod val="50000"/>
                </a:schemeClr>
              </a:solidFill>
              <a:prstDash val="sysDash"/>
              <a:round/>
            </a:ln>
          </c:spPr>
          <c:marker>
            <c:symbol val="none"/>
          </c:marker>
          <c:dLbls>
            <c:delete val="1"/>
          </c:dLbls>
          <c:xVal>
            <c:numRef>
              <c:f>Eff_vs_IOUT!$S$8:$S$157</c:f>
              <c:numCache>
                <c:formatCode>General</c:formatCode>
                <c:ptCount val="150"/>
                <c:pt idx="0">
                  <c:v>0.0166666666666667</c:v>
                </c:pt>
                <c:pt idx="1">
                  <c:v>0.0333333333333333</c:v>
                </c:pt>
                <c:pt idx="2">
                  <c:v>0.05</c:v>
                </c:pt>
                <c:pt idx="3">
                  <c:v>0.0666666666666667</c:v>
                </c:pt>
                <c:pt idx="4">
                  <c:v>0.0833333333333333</c:v>
                </c:pt>
                <c:pt idx="5">
                  <c:v>0.1</c:v>
                </c:pt>
                <c:pt idx="6">
                  <c:v>0.116666666666667</c:v>
                </c:pt>
                <c:pt idx="7">
                  <c:v>0.133333333333333</c:v>
                </c:pt>
                <c:pt idx="8">
                  <c:v>0.15</c:v>
                </c:pt>
                <c:pt idx="9">
                  <c:v>0.166666666666667</c:v>
                </c:pt>
                <c:pt idx="10">
                  <c:v>0.183333333333333</c:v>
                </c:pt>
                <c:pt idx="11">
                  <c:v>0.2</c:v>
                </c:pt>
                <c:pt idx="12">
                  <c:v>0.216666666666667</c:v>
                </c:pt>
                <c:pt idx="13">
                  <c:v>0.233333333333333</c:v>
                </c:pt>
                <c:pt idx="14">
                  <c:v>0.25</c:v>
                </c:pt>
                <c:pt idx="15">
                  <c:v>0.266666666666667</c:v>
                </c:pt>
                <c:pt idx="16">
                  <c:v>0.283333333333333</c:v>
                </c:pt>
                <c:pt idx="17">
                  <c:v>0.3</c:v>
                </c:pt>
                <c:pt idx="18">
                  <c:v>0.316666666666667</c:v>
                </c:pt>
                <c:pt idx="19">
                  <c:v>0.333333333333333</c:v>
                </c:pt>
                <c:pt idx="20">
                  <c:v>0.35</c:v>
                </c:pt>
                <c:pt idx="21">
                  <c:v>0.366666666666667</c:v>
                </c:pt>
                <c:pt idx="22">
                  <c:v>0.383333333333333</c:v>
                </c:pt>
                <c:pt idx="23">
                  <c:v>0.4</c:v>
                </c:pt>
                <c:pt idx="24">
                  <c:v>0.416666666666667</c:v>
                </c:pt>
                <c:pt idx="25">
                  <c:v>0.433333333333333</c:v>
                </c:pt>
                <c:pt idx="26">
                  <c:v>0.45</c:v>
                </c:pt>
                <c:pt idx="27">
                  <c:v>0.466666666666667</c:v>
                </c:pt>
                <c:pt idx="28">
                  <c:v>0.483333333333333</c:v>
                </c:pt>
                <c:pt idx="29">
                  <c:v>0.5</c:v>
                </c:pt>
                <c:pt idx="30">
                  <c:v>0.516666666666667</c:v>
                </c:pt>
                <c:pt idx="31">
                  <c:v>0.533333333333333</c:v>
                </c:pt>
                <c:pt idx="32">
                  <c:v>0.55</c:v>
                </c:pt>
                <c:pt idx="33">
                  <c:v>0.566666666666667</c:v>
                </c:pt>
                <c:pt idx="34">
                  <c:v>0.583333333333333</c:v>
                </c:pt>
                <c:pt idx="35">
                  <c:v>0.6</c:v>
                </c:pt>
                <c:pt idx="36">
                  <c:v>0.616666666666667</c:v>
                </c:pt>
                <c:pt idx="37">
                  <c:v>0.633333333333333</c:v>
                </c:pt>
                <c:pt idx="38">
                  <c:v>0.65</c:v>
                </c:pt>
                <c:pt idx="39">
                  <c:v>0.666666666666667</c:v>
                </c:pt>
                <c:pt idx="40">
                  <c:v>0.683333333333333</c:v>
                </c:pt>
                <c:pt idx="41">
                  <c:v>0.7</c:v>
                </c:pt>
                <c:pt idx="42">
                  <c:v>0.716666666666667</c:v>
                </c:pt>
                <c:pt idx="43">
                  <c:v>0.733333333333333</c:v>
                </c:pt>
                <c:pt idx="44">
                  <c:v>0.75</c:v>
                </c:pt>
                <c:pt idx="45">
                  <c:v>0.766666666666667</c:v>
                </c:pt>
                <c:pt idx="46">
                  <c:v>0.783333333333333</c:v>
                </c:pt>
                <c:pt idx="47">
                  <c:v>0.8</c:v>
                </c:pt>
                <c:pt idx="48">
                  <c:v>0.816666666666667</c:v>
                </c:pt>
                <c:pt idx="49">
                  <c:v>0.833333333333333</c:v>
                </c:pt>
                <c:pt idx="50">
                  <c:v>0.85</c:v>
                </c:pt>
                <c:pt idx="51">
                  <c:v>0.866666666666667</c:v>
                </c:pt>
                <c:pt idx="52">
                  <c:v>0.883333333333333</c:v>
                </c:pt>
                <c:pt idx="53">
                  <c:v>0.9</c:v>
                </c:pt>
                <c:pt idx="54">
                  <c:v>0.916666666666667</c:v>
                </c:pt>
                <c:pt idx="55">
                  <c:v>0.933333333333333</c:v>
                </c:pt>
                <c:pt idx="56">
                  <c:v>0.95</c:v>
                </c:pt>
                <c:pt idx="57">
                  <c:v>0.966666666666667</c:v>
                </c:pt>
                <c:pt idx="58">
                  <c:v>0.983333333333333</c:v>
                </c:pt>
                <c:pt idx="59">
                  <c:v>1</c:v>
                </c:pt>
                <c:pt idx="60">
                  <c:v>1.01666666666667</c:v>
                </c:pt>
                <c:pt idx="61">
                  <c:v>1.03333333333333</c:v>
                </c:pt>
                <c:pt idx="62">
                  <c:v>1.05</c:v>
                </c:pt>
                <c:pt idx="63">
                  <c:v>1.06666666666667</c:v>
                </c:pt>
                <c:pt idx="64">
                  <c:v>1.08333333333333</c:v>
                </c:pt>
                <c:pt idx="65">
                  <c:v>1.1</c:v>
                </c:pt>
                <c:pt idx="66">
                  <c:v>1.11666666666667</c:v>
                </c:pt>
                <c:pt idx="67">
                  <c:v>1.13333333333333</c:v>
                </c:pt>
                <c:pt idx="68">
                  <c:v>1.15</c:v>
                </c:pt>
                <c:pt idx="69">
                  <c:v>1.16666666666667</c:v>
                </c:pt>
                <c:pt idx="70">
                  <c:v>1.18333333333333</c:v>
                </c:pt>
                <c:pt idx="71">
                  <c:v>1.2</c:v>
                </c:pt>
                <c:pt idx="72">
                  <c:v>1.21666666666667</c:v>
                </c:pt>
                <c:pt idx="73">
                  <c:v>1.23333333333333</c:v>
                </c:pt>
                <c:pt idx="74">
                  <c:v>1.25</c:v>
                </c:pt>
                <c:pt idx="75">
                  <c:v>1.26666666666667</c:v>
                </c:pt>
                <c:pt idx="76">
                  <c:v>1.28333333333333</c:v>
                </c:pt>
                <c:pt idx="77">
                  <c:v>1.3</c:v>
                </c:pt>
                <c:pt idx="78">
                  <c:v>1.31666666666667</c:v>
                </c:pt>
                <c:pt idx="79">
                  <c:v>1.33333333333333</c:v>
                </c:pt>
                <c:pt idx="80">
                  <c:v>1.35</c:v>
                </c:pt>
                <c:pt idx="81">
                  <c:v>1.36666666666667</c:v>
                </c:pt>
                <c:pt idx="82">
                  <c:v>1.38333333333333</c:v>
                </c:pt>
                <c:pt idx="83">
                  <c:v>1.4</c:v>
                </c:pt>
                <c:pt idx="84">
                  <c:v>1.41666666666667</c:v>
                </c:pt>
                <c:pt idx="85">
                  <c:v>1.43333333333333</c:v>
                </c:pt>
                <c:pt idx="86">
                  <c:v>1.45</c:v>
                </c:pt>
                <c:pt idx="87">
                  <c:v>1.46666666666667</c:v>
                </c:pt>
                <c:pt idx="88">
                  <c:v>1.48333333333333</c:v>
                </c:pt>
                <c:pt idx="89">
                  <c:v>1.5</c:v>
                </c:pt>
                <c:pt idx="90">
                  <c:v>1.51666666666667</c:v>
                </c:pt>
                <c:pt idx="91">
                  <c:v>1.53333333333333</c:v>
                </c:pt>
                <c:pt idx="92">
                  <c:v>1.55</c:v>
                </c:pt>
                <c:pt idx="93">
                  <c:v>1.56666666666667</c:v>
                </c:pt>
                <c:pt idx="94">
                  <c:v>1.58333333333333</c:v>
                </c:pt>
                <c:pt idx="95">
                  <c:v>1.6</c:v>
                </c:pt>
                <c:pt idx="96">
                  <c:v>1.61666666666667</c:v>
                </c:pt>
                <c:pt idx="97">
                  <c:v>1.63333333333333</c:v>
                </c:pt>
                <c:pt idx="98">
                  <c:v>1.65</c:v>
                </c:pt>
                <c:pt idx="99">
                  <c:v>1.66666666666667</c:v>
                </c:pt>
                <c:pt idx="100">
                  <c:v>1.68333333333333</c:v>
                </c:pt>
                <c:pt idx="101">
                  <c:v>1.7</c:v>
                </c:pt>
                <c:pt idx="102">
                  <c:v>1.71666666666667</c:v>
                </c:pt>
                <c:pt idx="103">
                  <c:v>1.73333333333333</c:v>
                </c:pt>
                <c:pt idx="104">
                  <c:v>1.75</c:v>
                </c:pt>
                <c:pt idx="105">
                  <c:v>1.76666666666667</c:v>
                </c:pt>
                <c:pt idx="106">
                  <c:v>1.78333333333333</c:v>
                </c:pt>
                <c:pt idx="107">
                  <c:v>1.8</c:v>
                </c:pt>
                <c:pt idx="108">
                  <c:v>1.81666666666667</c:v>
                </c:pt>
                <c:pt idx="109">
                  <c:v>1.83333333333333</c:v>
                </c:pt>
                <c:pt idx="110">
                  <c:v>1.85</c:v>
                </c:pt>
                <c:pt idx="111">
                  <c:v>1.86666666666667</c:v>
                </c:pt>
                <c:pt idx="112">
                  <c:v>1.88333333333333</c:v>
                </c:pt>
                <c:pt idx="113">
                  <c:v>1.9</c:v>
                </c:pt>
                <c:pt idx="114">
                  <c:v>1.91666666666667</c:v>
                </c:pt>
                <c:pt idx="115">
                  <c:v>1.93333333333333</c:v>
                </c:pt>
                <c:pt idx="116">
                  <c:v>1.95</c:v>
                </c:pt>
                <c:pt idx="117">
                  <c:v>1.96666666666667</c:v>
                </c:pt>
                <c:pt idx="118">
                  <c:v>1.98333333333333</c:v>
                </c:pt>
                <c:pt idx="119">
                  <c:v>2</c:v>
                </c:pt>
                <c:pt idx="120">
                  <c:v>2.01666666666667</c:v>
                </c:pt>
                <c:pt idx="121">
                  <c:v>2.03333333333333</c:v>
                </c:pt>
                <c:pt idx="122">
                  <c:v>2.05</c:v>
                </c:pt>
                <c:pt idx="123">
                  <c:v>2.06666666666667</c:v>
                </c:pt>
                <c:pt idx="124">
                  <c:v>2.08333333333333</c:v>
                </c:pt>
                <c:pt idx="125">
                  <c:v>2.1</c:v>
                </c:pt>
                <c:pt idx="126">
                  <c:v>2.11666666666667</c:v>
                </c:pt>
                <c:pt idx="127">
                  <c:v>2.13333333333333</c:v>
                </c:pt>
                <c:pt idx="128">
                  <c:v>2.15</c:v>
                </c:pt>
                <c:pt idx="129">
                  <c:v>2.16666666666667</c:v>
                </c:pt>
                <c:pt idx="130">
                  <c:v>2.18333333333333</c:v>
                </c:pt>
                <c:pt idx="131">
                  <c:v>2.2</c:v>
                </c:pt>
                <c:pt idx="132">
                  <c:v>2.21666666666667</c:v>
                </c:pt>
                <c:pt idx="133">
                  <c:v>2.23333333333333</c:v>
                </c:pt>
                <c:pt idx="134">
                  <c:v>2.25</c:v>
                </c:pt>
                <c:pt idx="135">
                  <c:v>2.26666666666667</c:v>
                </c:pt>
                <c:pt idx="136">
                  <c:v>2.28333333333333</c:v>
                </c:pt>
                <c:pt idx="137">
                  <c:v>2.3</c:v>
                </c:pt>
                <c:pt idx="138">
                  <c:v>2.31666666666667</c:v>
                </c:pt>
                <c:pt idx="139">
                  <c:v>2.33333333333333</c:v>
                </c:pt>
                <c:pt idx="140">
                  <c:v>2.35</c:v>
                </c:pt>
                <c:pt idx="141">
                  <c:v>2.36666666666667</c:v>
                </c:pt>
                <c:pt idx="142">
                  <c:v>2.38333333333333</c:v>
                </c:pt>
                <c:pt idx="143">
                  <c:v>2.4</c:v>
                </c:pt>
                <c:pt idx="144">
                  <c:v>2.41666666666667</c:v>
                </c:pt>
                <c:pt idx="145">
                  <c:v>2.43333333333333</c:v>
                </c:pt>
                <c:pt idx="146">
                  <c:v>2.45</c:v>
                </c:pt>
                <c:pt idx="147">
                  <c:v>2.46666666666667</c:v>
                </c:pt>
                <c:pt idx="148">
                  <c:v>2.48333333333333</c:v>
                </c:pt>
                <c:pt idx="149">
                  <c:v>2.5</c:v>
                </c:pt>
              </c:numCache>
            </c:numRef>
          </c:xVal>
          <c:yVal>
            <c:numRef>
              <c:f>Eff_vs_IOUT!$AN$8:$AN$157</c:f>
              <c:numCache>
                <c:formatCode>General</c:formatCode>
                <c:ptCount val="150"/>
                <c:pt idx="0">
                  <c:v>0.00541666666666667</c:v>
                </c:pt>
                <c:pt idx="1">
                  <c:v>0.0108333333333333</c:v>
                </c:pt>
                <c:pt idx="2">
                  <c:v>0.01625</c:v>
                </c:pt>
                <c:pt idx="3">
                  <c:v>0.0216666666666667</c:v>
                </c:pt>
                <c:pt idx="4">
                  <c:v>0.0270833333333333</c:v>
                </c:pt>
                <c:pt idx="5">
                  <c:v>0.0325</c:v>
                </c:pt>
                <c:pt idx="6">
                  <c:v>0.0379166666666667</c:v>
                </c:pt>
                <c:pt idx="7">
                  <c:v>0.0433333333333333</c:v>
                </c:pt>
                <c:pt idx="8">
                  <c:v>0.04875</c:v>
                </c:pt>
                <c:pt idx="9">
                  <c:v>0.0541666666666667</c:v>
                </c:pt>
                <c:pt idx="10">
                  <c:v>0.0595833333333333</c:v>
                </c:pt>
                <c:pt idx="11">
                  <c:v>0.065</c:v>
                </c:pt>
                <c:pt idx="12">
                  <c:v>0.0704166666666667</c:v>
                </c:pt>
                <c:pt idx="13">
                  <c:v>0.0758333333333333</c:v>
                </c:pt>
                <c:pt idx="14">
                  <c:v>0.08125</c:v>
                </c:pt>
                <c:pt idx="15">
                  <c:v>0.0866666666666667</c:v>
                </c:pt>
                <c:pt idx="16">
                  <c:v>0.0920833333333333</c:v>
                </c:pt>
                <c:pt idx="17">
                  <c:v>0.0975</c:v>
                </c:pt>
                <c:pt idx="18">
                  <c:v>0.102916666666667</c:v>
                </c:pt>
                <c:pt idx="19">
                  <c:v>0.108333333333333</c:v>
                </c:pt>
                <c:pt idx="20">
                  <c:v>0.11375</c:v>
                </c:pt>
                <c:pt idx="21">
                  <c:v>0.119166666666667</c:v>
                </c:pt>
                <c:pt idx="22">
                  <c:v>0.124583333333333</c:v>
                </c:pt>
                <c:pt idx="23">
                  <c:v>0.13</c:v>
                </c:pt>
                <c:pt idx="24">
                  <c:v>0.135416666666667</c:v>
                </c:pt>
                <c:pt idx="25">
                  <c:v>0.140833333333333</c:v>
                </c:pt>
                <c:pt idx="26">
                  <c:v>0.14625</c:v>
                </c:pt>
                <c:pt idx="27">
                  <c:v>0.151666666666667</c:v>
                </c:pt>
                <c:pt idx="28">
                  <c:v>0.157083333333333</c:v>
                </c:pt>
                <c:pt idx="29">
                  <c:v>0.1625</c:v>
                </c:pt>
                <c:pt idx="30">
                  <c:v>0.167916666666667</c:v>
                </c:pt>
                <c:pt idx="31">
                  <c:v>0.173333333333333</c:v>
                </c:pt>
                <c:pt idx="32">
                  <c:v>0.17875</c:v>
                </c:pt>
                <c:pt idx="33">
                  <c:v>0.184166666666667</c:v>
                </c:pt>
                <c:pt idx="34">
                  <c:v>0.189583333333333</c:v>
                </c:pt>
                <c:pt idx="35">
                  <c:v>0.195</c:v>
                </c:pt>
                <c:pt idx="36">
                  <c:v>0.200416666666667</c:v>
                </c:pt>
                <c:pt idx="37">
                  <c:v>0.205833333333333</c:v>
                </c:pt>
                <c:pt idx="38">
                  <c:v>0.21125</c:v>
                </c:pt>
                <c:pt idx="39">
                  <c:v>0.216666666666667</c:v>
                </c:pt>
                <c:pt idx="40">
                  <c:v>0.222083333333333</c:v>
                </c:pt>
                <c:pt idx="41">
                  <c:v>0.2275</c:v>
                </c:pt>
                <c:pt idx="42">
                  <c:v>0.232916666666667</c:v>
                </c:pt>
                <c:pt idx="43">
                  <c:v>0.238333333333333</c:v>
                </c:pt>
                <c:pt idx="44">
                  <c:v>0.24375</c:v>
                </c:pt>
                <c:pt idx="45">
                  <c:v>0.249166666666667</c:v>
                </c:pt>
                <c:pt idx="46">
                  <c:v>0.254583333333333</c:v>
                </c:pt>
                <c:pt idx="47">
                  <c:v>0.26</c:v>
                </c:pt>
                <c:pt idx="48">
                  <c:v>0.265416666666667</c:v>
                </c:pt>
                <c:pt idx="49">
                  <c:v>0.270833333333333</c:v>
                </c:pt>
                <c:pt idx="50">
                  <c:v>0.27625</c:v>
                </c:pt>
                <c:pt idx="51">
                  <c:v>0.281666666666667</c:v>
                </c:pt>
                <c:pt idx="52">
                  <c:v>0.287083333333333</c:v>
                </c:pt>
                <c:pt idx="53">
                  <c:v>0.2925</c:v>
                </c:pt>
                <c:pt idx="54">
                  <c:v>0.297916666666667</c:v>
                </c:pt>
                <c:pt idx="55">
                  <c:v>0.303333333333333</c:v>
                </c:pt>
                <c:pt idx="56">
                  <c:v>0.30875</c:v>
                </c:pt>
                <c:pt idx="57">
                  <c:v>0.314166666666667</c:v>
                </c:pt>
                <c:pt idx="58">
                  <c:v>0.319583333333333</c:v>
                </c:pt>
                <c:pt idx="59">
                  <c:v>0.325</c:v>
                </c:pt>
                <c:pt idx="60">
                  <c:v>0.330416666666667</c:v>
                </c:pt>
                <c:pt idx="61">
                  <c:v>0.335833333333333</c:v>
                </c:pt>
                <c:pt idx="62">
                  <c:v>0.34125</c:v>
                </c:pt>
                <c:pt idx="63">
                  <c:v>0.346666666666667</c:v>
                </c:pt>
                <c:pt idx="64">
                  <c:v>0.352083333333333</c:v>
                </c:pt>
                <c:pt idx="65">
                  <c:v>0.3575</c:v>
                </c:pt>
                <c:pt idx="66">
                  <c:v>0.362916666666667</c:v>
                </c:pt>
                <c:pt idx="67">
                  <c:v>0.368333333333333</c:v>
                </c:pt>
                <c:pt idx="68">
                  <c:v>0.37375</c:v>
                </c:pt>
                <c:pt idx="69">
                  <c:v>0.379166666666667</c:v>
                </c:pt>
                <c:pt idx="70">
                  <c:v>0.384583333333333</c:v>
                </c:pt>
                <c:pt idx="71">
                  <c:v>0.39</c:v>
                </c:pt>
                <c:pt idx="72">
                  <c:v>0.395416666666667</c:v>
                </c:pt>
                <c:pt idx="73">
                  <c:v>0.400833333333333</c:v>
                </c:pt>
                <c:pt idx="74">
                  <c:v>0.40625</c:v>
                </c:pt>
                <c:pt idx="75">
                  <c:v>0.411666666666667</c:v>
                </c:pt>
                <c:pt idx="76">
                  <c:v>0.417083333333333</c:v>
                </c:pt>
                <c:pt idx="77">
                  <c:v>0.4225</c:v>
                </c:pt>
                <c:pt idx="78">
                  <c:v>0.427916666666667</c:v>
                </c:pt>
                <c:pt idx="79">
                  <c:v>0.433333333333333</c:v>
                </c:pt>
                <c:pt idx="80">
                  <c:v>0.43875</c:v>
                </c:pt>
                <c:pt idx="81">
                  <c:v>0.444166666666667</c:v>
                </c:pt>
                <c:pt idx="82">
                  <c:v>0.449583333333333</c:v>
                </c:pt>
                <c:pt idx="83">
                  <c:v>0.455</c:v>
                </c:pt>
                <c:pt idx="84">
                  <c:v>0.460416666666667</c:v>
                </c:pt>
                <c:pt idx="85">
                  <c:v>0.465833333333333</c:v>
                </c:pt>
                <c:pt idx="86">
                  <c:v>0.47125</c:v>
                </c:pt>
                <c:pt idx="87">
                  <c:v>0.476666666666667</c:v>
                </c:pt>
                <c:pt idx="88">
                  <c:v>0.482083333333333</c:v>
                </c:pt>
                <c:pt idx="89">
                  <c:v>0.4875</c:v>
                </c:pt>
                <c:pt idx="90">
                  <c:v>0.492916666666667</c:v>
                </c:pt>
                <c:pt idx="91">
                  <c:v>0.498333333333333</c:v>
                </c:pt>
                <c:pt idx="92">
                  <c:v>0.50375</c:v>
                </c:pt>
                <c:pt idx="93">
                  <c:v>0.509166666666667</c:v>
                </c:pt>
                <c:pt idx="94">
                  <c:v>0.514583333333333</c:v>
                </c:pt>
                <c:pt idx="95">
                  <c:v>0.52</c:v>
                </c:pt>
                <c:pt idx="96">
                  <c:v>0.525416666666667</c:v>
                </c:pt>
                <c:pt idx="97">
                  <c:v>0.530833333333333</c:v>
                </c:pt>
                <c:pt idx="98">
                  <c:v>0.53625</c:v>
                </c:pt>
                <c:pt idx="99">
                  <c:v>0.541666666666667</c:v>
                </c:pt>
                <c:pt idx="100">
                  <c:v>0.547083333333333</c:v>
                </c:pt>
                <c:pt idx="101">
                  <c:v>0.5525</c:v>
                </c:pt>
                <c:pt idx="102">
                  <c:v>0.557916666666667</c:v>
                </c:pt>
                <c:pt idx="103">
                  <c:v>0.563333333333333</c:v>
                </c:pt>
                <c:pt idx="104">
                  <c:v>0.56875</c:v>
                </c:pt>
                <c:pt idx="105">
                  <c:v>0.574166666666667</c:v>
                </c:pt>
                <c:pt idx="106">
                  <c:v>0.579583333333333</c:v>
                </c:pt>
                <c:pt idx="107">
                  <c:v>0.585</c:v>
                </c:pt>
                <c:pt idx="108">
                  <c:v>0.590416666666667</c:v>
                </c:pt>
                <c:pt idx="109">
                  <c:v>0.595833333333333</c:v>
                </c:pt>
                <c:pt idx="110">
                  <c:v>0.60125</c:v>
                </c:pt>
                <c:pt idx="111">
                  <c:v>0.606666666666667</c:v>
                </c:pt>
                <c:pt idx="112">
                  <c:v>0.612083333333333</c:v>
                </c:pt>
                <c:pt idx="113">
                  <c:v>0.6175</c:v>
                </c:pt>
                <c:pt idx="114">
                  <c:v>0.622916666666667</c:v>
                </c:pt>
                <c:pt idx="115">
                  <c:v>0.628333333333333</c:v>
                </c:pt>
                <c:pt idx="116">
                  <c:v>0.63375</c:v>
                </c:pt>
                <c:pt idx="117">
                  <c:v>0.639166666666667</c:v>
                </c:pt>
                <c:pt idx="118">
                  <c:v>0.644583333333333</c:v>
                </c:pt>
                <c:pt idx="119">
                  <c:v>0.65</c:v>
                </c:pt>
                <c:pt idx="120">
                  <c:v>0.655416666666667</c:v>
                </c:pt>
                <c:pt idx="121">
                  <c:v>0.660833333333333</c:v>
                </c:pt>
                <c:pt idx="122">
                  <c:v>0.66625</c:v>
                </c:pt>
                <c:pt idx="123">
                  <c:v>0.671666666666667</c:v>
                </c:pt>
                <c:pt idx="124">
                  <c:v>0.677083333333333</c:v>
                </c:pt>
                <c:pt idx="125">
                  <c:v>0.6825</c:v>
                </c:pt>
                <c:pt idx="126">
                  <c:v>0.687916666666667</c:v>
                </c:pt>
                <c:pt idx="127">
                  <c:v>0.693333333333333</c:v>
                </c:pt>
                <c:pt idx="128">
                  <c:v>0.69875</c:v>
                </c:pt>
                <c:pt idx="129">
                  <c:v>0.704166666666667</c:v>
                </c:pt>
                <c:pt idx="130">
                  <c:v>0.709583333333333</c:v>
                </c:pt>
                <c:pt idx="131">
                  <c:v>0.715</c:v>
                </c:pt>
                <c:pt idx="132">
                  <c:v>0.720416666666667</c:v>
                </c:pt>
                <c:pt idx="133">
                  <c:v>0.725833333333333</c:v>
                </c:pt>
                <c:pt idx="134">
                  <c:v>0.73125</c:v>
                </c:pt>
                <c:pt idx="135">
                  <c:v>0.736666666666667</c:v>
                </c:pt>
                <c:pt idx="136">
                  <c:v>0.742083333333333</c:v>
                </c:pt>
                <c:pt idx="137">
                  <c:v>0.7475</c:v>
                </c:pt>
                <c:pt idx="138">
                  <c:v>0.752916666666667</c:v>
                </c:pt>
                <c:pt idx="139">
                  <c:v>0.758333333333333</c:v>
                </c:pt>
                <c:pt idx="140">
                  <c:v>0.76375</c:v>
                </c:pt>
                <c:pt idx="141">
                  <c:v>0.769166666666667</c:v>
                </c:pt>
                <c:pt idx="142">
                  <c:v>0.774583333333333</c:v>
                </c:pt>
                <c:pt idx="143">
                  <c:v>0.78</c:v>
                </c:pt>
                <c:pt idx="144">
                  <c:v>0.785416666666667</c:v>
                </c:pt>
                <c:pt idx="145">
                  <c:v>0.790833333333333</c:v>
                </c:pt>
                <c:pt idx="146">
                  <c:v>0.79625</c:v>
                </c:pt>
                <c:pt idx="147">
                  <c:v>0.801666666666667</c:v>
                </c:pt>
                <c:pt idx="148">
                  <c:v>0.807083333333333</c:v>
                </c:pt>
                <c:pt idx="149">
                  <c:v>0.8125</c:v>
                </c:pt>
              </c:numCache>
            </c:numRef>
          </c:yVal>
          <c:smooth val="1"/>
        </c:ser>
        <c:ser>
          <c:idx val="3"/>
          <c:order val="3"/>
          <c:tx>
            <c:strRef>
              <c:f>"RCS"</c:f>
              <c:strCache>
                <c:ptCount val="1"/>
                <c:pt idx="0">
                  <c:v>RCS</c:v>
                </c:pt>
              </c:strCache>
            </c:strRef>
          </c:tx>
          <c:spPr>
            <a:ln w="28575" cap="rnd" cmpd="sng" algn="ctr">
              <a:solidFill>
                <a:schemeClr val="accent5">
                  <a:lumMod val="75000"/>
                </a:schemeClr>
              </a:solidFill>
              <a:prstDash val="lgDashDotDot"/>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Eff_vs_IOUT!$AO$7:$AO$157</c:f>
              <c:numCache>
                <c:formatCode>General</c:formatCode>
                <c:ptCount val="151"/>
                <c:pt idx="0">
                  <c:v>0</c:v>
                </c:pt>
                <c:pt idx="1">
                  <c:v>0.000146706873593245</c:v>
                </c:pt>
                <c:pt idx="2">
                  <c:v>0.000505046248651554</c:v>
                </c:pt>
                <c:pt idx="3">
                  <c:v>0.00106867833899658</c:v>
                </c:pt>
                <c:pt idx="4">
                  <c:v>0.000416608820398908</c:v>
                </c:pt>
                <c:pt idx="5">
                  <c:v>0.000572858820398908</c:v>
                </c:pt>
                <c:pt idx="6">
                  <c:v>0.00076383104262113</c:v>
                </c:pt>
                <c:pt idx="7">
                  <c:v>0.000989525487065575</c:v>
                </c:pt>
                <c:pt idx="8">
                  <c:v>0.00124994215373224</c:v>
                </c:pt>
                <c:pt idx="9">
                  <c:v>0.00154508104262113</c:v>
                </c:pt>
                <c:pt idx="10">
                  <c:v>0.00187494215373224</c:v>
                </c:pt>
                <c:pt idx="11">
                  <c:v>0.00223952548706557</c:v>
                </c:pt>
                <c:pt idx="12">
                  <c:v>0.00263883104262113</c:v>
                </c:pt>
                <c:pt idx="13">
                  <c:v>0.00307285882039891</c:v>
                </c:pt>
                <c:pt idx="14">
                  <c:v>0.00354160882039891</c:v>
                </c:pt>
                <c:pt idx="15">
                  <c:v>0.00404508104262113</c:v>
                </c:pt>
                <c:pt idx="16">
                  <c:v>0.00458327548706557</c:v>
                </c:pt>
                <c:pt idx="17">
                  <c:v>0.00515619215373224</c:v>
                </c:pt>
                <c:pt idx="18">
                  <c:v>0.00576383104262113</c:v>
                </c:pt>
                <c:pt idx="19">
                  <c:v>0.00640619215373224</c:v>
                </c:pt>
                <c:pt idx="20">
                  <c:v>0.00708327548706557</c:v>
                </c:pt>
                <c:pt idx="21">
                  <c:v>0.00779508104262113</c:v>
                </c:pt>
                <c:pt idx="22">
                  <c:v>0.00854160882039891</c:v>
                </c:pt>
                <c:pt idx="23">
                  <c:v>0.00932285882039891</c:v>
                </c:pt>
                <c:pt idx="24">
                  <c:v>0.0101388310426211</c:v>
                </c:pt>
                <c:pt idx="25">
                  <c:v>0.0109895254870656</c:v>
                </c:pt>
                <c:pt idx="26">
                  <c:v>0.0118749421537322</c:v>
                </c:pt>
                <c:pt idx="27">
                  <c:v>0.0127950810426211</c:v>
                </c:pt>
                <c:pt idx="28">
                  <c:v>0.0137499421537322</c:v>
                </c:pt>
                <c:pt idx="29">
                  <c:v>0.0147395254870656</c:v>
                </c:pt>
                <c:pt idx="30">
                  <c:v>0.0157638310426211</c:v>
                </c:pt>
                <c:pt idx="31">
                  <c:v>0.0168228588203989</c:v>
                </c:pt>
                <c:pt idx="32">
                  <c:v>0.0179166088203989</c:v>
                </c:pt>
                <c:pt idx="33">
                  <c:v>0.0190450810426211</c:v>
                </c:pt>
                <c:pt idx="34">
                  <c:v>0.0202082754870656</c:v>
                </c:pt>
                <c:pt idx="35">
                  <c:v>0.0214061921537322</c:v>
                </c:pt>
                <c:pt idx="36">
                  <c:v>0.0226388310426211</c:v>
                </c:pt>
                <c:pt idx="37">
                  <c:v>0.0239061921537322</c:v>
                </c:pt>
                <c:pt idx="38">
                  <c:v>0.0252082754870656</c:v>
                </c:pt>
                <c:pt idx="39">
                  <c:v>0.0265450810426211</c:v>
                </c:pt>
                <c:pt idx="40">
                  <c:v>0.0279166088203989</c:v>
                </c:pt>
                <c:pt idx="41">
                  <c:v>0.0293228588203989</c:v>
                </c:pt>
                <c:pt idx="42">
                  <c:v>0.0307638310426211</c:v>
                </c:pt>
                <c:pt idx="43">
                  <c:v>0.0322395254870656</c:v>
                </c:pt>
                <c:pt idx="44">
                  <c:v>0.0337499421537322</c:v>
                </c:pt>
                <c:pt idx="45">
                  <c:v>0.0352950810426211</c:v>
                </c:pt>
                <c:pt idx="46">
                  <c:v>0.0368749421537322</c:v>
                </c:pt>
                <c:pt idx="47">
                  <c:v>0.0384895254870656</c:v>
                </c:pt>
                <c:pt idx="48">
                  <c:v>0.0401388310426211</c:v>
                </c:pt>
                <c:pt idx="49">
                  <c:v>0.0418228588203989</c:v>
                </c:pt>
                <c:pt idx="50">
                  <c:v>0.0435416088203989</c:v>
                </c:pt>
                <c:pt idx="51">
                  <c:v>0.0452950810426211</c:v>
                </c:pt>
                <c:pt idx="52">
                  <c:v>0.0470832754870656</c:v>
                </c:pt>
                <c:pt idx="53">
                  <c:v>0.0489061921537322</c:v>
                </c:pt>
                <c:pt idx="54">
                  <c:v>0.0507638310426211</c:v>
                </c:pt>
                <c:pt idx="55">
                  <c:v>0.0526561921537322</c:v>
                </c:pt>
                <c:pt idx="56">
                  <c:v>0.0545832754870656</c:v>
                </c:pt>
                <c:pt idx="57">
                  <c:v>0.0565450810426211</c:v>
                </c:pt>
                <c:pt idx="58">
                  <c:v>0.0585416088203989</c:v>
                </c:pt>
                <c:pt idx="59">
                  <c:v>0.0605728588203989</c:v>
                </c:pt>
                <c:pt idx="60">
                  <c:v>0.0626388310426211</c:v>
                </c:pt>
                <c:pt idx="61">
                  <c:v>0.0647395254870656</c:v>
                </c:pt>
                <c:pt idx="62">
                  <c:v>0.0668749421537322</c:v>
                </c:pt>
                <c:pt idx="63">
                  <c:v>0.0690450810426211</c:v>
                </c:pt>
                <c:pt idx="64">
                  <c:v>0.0712499421537322</c:v>
                </c:pt>
                <c:pt idx="65">
                  <c:v>0.0734895254870656</c:v>
                </c:pt>
                <c:pt idx="66">
                  <c:v>0.0757638310426211</c:v>
                </c:pt>
                <c:pt idx="67">
                  <c:v>0.0780728588203989</c:v>
                </c:pt>
                <c:pt idx="68">
                  <c:v>0.0804166088203989</c:v>
                </c:pt>
                <c:pt idx="69">
                  <c:v>0.0827950810426211</c:v>
                </c:pt>
                <c:pt idx="70">
                  <c:v>0.0852082754870656</c:v>
                </c:pt>
                <c:pt idx="71">
                  <c:v>0.0876561921537323</c:v>
                </c:pt>
                <c:pt idx="72">
                  <c:v>0.0901388310426212</c:v>
                </c:pt>
                <c:pt idx="73">
                  <c:v>0.0926561921537323</c:v>
                </c:pt>
                <c:pt idx="74">
                  <c:v>0.0952082754870656</c:v>
                </c:pt>
                <c:pt idx="75">
                  <c:v>0.0977950810426211</c:v>
                </c:pt>
                <c:pt idx="76">
                  <c:v>0.100416608820399</c:v>
                </c:pt>
                <c:pt idx="77">
                  <c:v>0.103072858820399</c:v>
                </c:pt>
                <c:pt idx="78">
                  <c:v>0.105763831042621</c:v>
                </c:pt>
                <c:pt idx="79">
                  <c:v>0.108489525487066</c:v>
                </c:pt>
                <c:pt idx="80">
                  <c:v>0.111249942153732</c:v>
                </c:pt>
                <c:pt idx="81">
                  <c:v>0.114045081042621</c:v>
                </c:pt>
                <c:pt idx="82">
                  <c:v>0.116874942153732</c:v>
                </c:pt>
                <c:pt idx="83">
                  <c:v>0.119739525487066</c:v>
                </c:pt>
                <c:pt idx="84">
                  <c:v>0.122638831042621</c:v>
                </c:pt>
                <c:pt idx="85">
                  <c:v>0.125572858820399</c:v>
                </c:pt>
                <c:pt idx="86">
                  <c:v>0.128541608820399</c:v>
                </c:pt>
                <c:pt idx="87">
                  <c:v>0.131545081042621</c:v>
                </c:pt>
                <c:pt idx="88">
                  <c:v>0.134583275487066</c:v>
                </c:pt>
                <c:pt idx="89">
                  <c:v>0.137656192153732</c:v>
                </c:pt>
                <c:pt idx="90">
                  <c:v>0.140763831042621</c:v>
                </c:pt>
                <c:pt idx="91">
                  <c:v>0.143906192153732</c:v>
                </c:pt>
                <c:pt idx="92">
                  <c:v>0.147083275487066</c:v>
                </c:pt>
                <c:pt idx="93">
                  <c:v>0.150295081042621</c:v>
                </c:pt>
                <c:pt idx="94">
                  <c:v>0.153541608820399</c:v>
                </c:pt>
                <c:pt idx="95">
                  <c:v>0.156822858820399</c:v>
                </c:pt>
                <c:pt idx="96">
                  <c:v>0.160138831042621</c:v>
                </c:pt>
                <c:pt idx="97">
                  <c:v>0.163489525487066</c:v>
                </c:pt>
                <c:pt idx="98">
                  <c:v>0.166874942153732</c:v>
                </c:pt>
                <c:pt idx="99">
                  <c:v>0.170295081042621</c:v>
                </c:pt>
                <c:pt idx="100">
                  <c:v>0.173749942153732</c:v>
                </c:pt>
                <c:pt idx="101">
                  <c:v>0.177239525487066</c:v>
                </c:pt>
                <c:pt idx="102">
                  <c:v>0.180763831042621</c:v>
                </c:pt>
                <c:pt idx="103">
                  <c:v>0.184322858820399</c:v>
                </c:pt>
                <c:pt idx="104">
                  <c:v>0.187916608820399</c:v>
                </c:pt>
                <c:pt idx="105">
                  <c:v>0.191545081042621</c:v>
                </c:pt>
                <c:pt idx="106">
                  <c:v>0.195208275487066</c:v>
                </c:pt>
                <c:pt idx="107">
                  <c:v>0.198906192153732</c:v>
                </c:pt>
                <c:pt idx="108">
                  <c:v>0.202638831042621</c:v>
                </c:pt>
                <c:pt idx="109">
                  <c:v>0.206406192153732</c:v>
                </c:pt>
                <c:pt idx="110">
                  <c:v>0.210208275487066</c:v>
                </c:pt>
                <c:pt idx="111">
                  <c:v>0.214045081042621</c:v>
                </c:pt>
                <c:pt idx="112">
                  <c:v>0.217916608820399</c:v>
                </c:pt>
                <c:pt idx="113">
                  <c:v>0.221822858820399</c:v>
                </c:pt>
                <c:pt idx="114">
                  <c:v>0.225763831042621</c:v>
                </c:pt>
                <c:pt idx="115">
                  <c:v>0.229739525487066</c:v>
                </c:pt>
                <c:pt idx="116">
                  <c:v>0.233749942153732</c:v>
                </c:pt>
                <c:pt idx="117">
                  <c:v>0.237795081042621</c:v>
                </c:pt>
                <c:pt idx="118">
                  <c:v>0.241874942153732</c:v>
                </c:pt>
                <c:pt idx="119">
                  <c:v>0.245989525487066</c:v>
                </c:pt>
                <c:pt idx="120">
                  <c:v>0.250138831042621</c:v>
                </c:pt>
                <c:pt idx="121">
                  <c:v>0.254322858820399</c:v>
                </c:pt>
                <c:pt idx="122">
                  <c:v>0.258541608820399</c:v>
                </c:pt>
                <c:pt idx="123">
                  <c:v>0.262795081042621</c:v>
                </c:pt>
                <c:pt idx="124">
                  <c:v>0.267083275487066</c:v>
                </c:pt>
                <c:pt idx="125">
                  <c:v>0.271406192153732</c:v>
                </c:pt>
                <c:pt idx="126">
                  <c:v>0.275763831042621</c:v>
                </c:pt>
                <c:pt idx="127">
                  <c:v>0.280156192153732</c:v>
                </c:pt>
                <c:pt idx="128">
                  <c:v>0.284583275487066</c:v>
                </c:pt>
                <c:pt idx="129">
                  <c:v>0.289045081042621</c:v>
                </c:pt>
                <c:pt idx="130">
                  <c:v>0.293541608820399</c:v>
                </c:pt>
                <c:pt idx="131">
                  <c:v>0.298072858820399</c:v>
                </c:pt>
                <c:pt idx="132">
                  <c:v>0.302638831042621</c:v>
                </c:pt>
                <c:pt idx="133">
                  <c:v>0.307239525487066</c:v>
                </c:pt>
                <c:pt idx="134">
                  <c:v>0.311874942153732</c:v>
                </c:pt>
                <c:pt idx="135">
                  <c:v>0.316545081042621</c:v>
                </c:pt>
                <c:pt idx="136">
                  <c:v>0.321249942153732</c:v>
                </c:pt>
                <c:pt idx="137">
                  <c:v>0.325989525487066</c:v>
                </c:pt>
                <c:pt idx="138">
                  <c:v>0.330763831042621</c:v>
                </c:pt>
                <c:pt idx="139">
                  <c:v>0.335572858820399</c:v>
                </c:pt>
                <c:pt idx="140">
                  <c:v>0.340416608820399</c:v>
                </c:pt>
                <c:pt idx="141">
                  <c:v>0.345295081042621</c:v>
                </c:pt>
                <c:pt idx="142">
                  <c:v>0.350208275487066</c:v>
                </c:pt>
                <c:pt idx="143">
                  <c:v>0.355156192153732</c:v>
                </c:pt>
                <c:pt idx="144">
                  <c:v>0.360138831042621</c:v>
                </c:pt>
                <c:pt idx="145">
                  <c:v>0.365156192153732</c:v>
                </c:pt>
                <c:pt idx="146">
                  <c:v>0.370208275487066</c:v>
                </c:pt>
                <c:pt idx="147">
                  <c:v>0.375295081042621</c:v>
                </c:pt>
                <c:pt idx="148">
                  <c:v>0.380416608820399</c:v>
                </c:pt>
                <c:pt idx="149">
                  <c:v>0.385572858820399</c:v>
                </c:pt>
                <c:pt idx="150">
                  <c:v>0.390763831042621</c:v>
                </c:pt>
              </c:numCache>
            </c:numRef>
          </c:yVal>
          <c:smooth val="1"/>
        </c:ser>
        <c:dLbls>
          <c:showLegendKey val="0"/>
          <c:showVal val="0"/>
          <c:showCatName val="0"/>
          <c:showSerName val="0"/>
          <c:showPercent val="0"/>
          <c:showBubbleSize val="0"/>
        </c:dLbls>
        <c:axId val="174879488"/>
        <c:axId val="174877312"/>
      </c:scatterChart>
      <c:valAx>
        <c:axId val="174861312"/>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4875392"/>
        <c:crosses val="autoZero"/>
        <c:crossBetween val="midCat"/>
      </c:valAx>
      <c:valAx>
        <c:axId val="174875392"/>
        <c:scaling>
          <c:orientation val="minMax"/>
          <c:max val="100"/>
          <c:min val="60"/>
        </c:scaling>
        <c:delete val="0"/>
        <c:axPos val="l"/>
        <c:majorGridlines/>
        <c:title>
          <c:tx>
            <c:rich>
              <a:bodyPr rot="-5400000" spcFirstLastPara="0" vertOverflow="ellipsis" vert="horz" wrap="square" anchor="ctr" anchorCtr="1"/>
              <a:lstStyle/>
              <a:p>
                <a:pPr>
                  <a:defRPr lang="pl-PL" sz="1400" b="1" i="0" u="none" strike="noStrike" kern="1200" baseline="0">
                    <a:solidFill>
                      <a:schemeClr val="tx1"/>
                    </a:solidFill>
                    <a:latin typeface="+mn-lt"/>
                    <a:ea typeface="+mn-ea"/>
                    <a:cs typeface="+mn-cs"/>
                  </a:defRPr>
                </a:pPr>
                <a:r>
                  <a:rPr lang="en-US" sz="1400"/>
                  <a:t>Efficiency</a:t>
                </a:r>
                <a:r>
                  <a:rPr lang="en-US" sz="1400" baseline="0"/>
                  <a:t> (%)</a:t>
                </a:r>
                <a:endParaRPr lang="en-US" sz="1400"/>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4861312"/>
        <c:crosses val="autoZero"/>
        <c:crossBetween val="midCat"/>
      </c:valAx>
      <c:valAx>
        <c:axId val="174879488"/>
        <c:scaling>
          <c:orientation val="minMax"/>
        </c:scaling>
        <c:delete val="1"/>
        <c:axPos val="b"/>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Loac</a:t>
                </a:r>
                <a:r>
                  <a:rPr lang="en-US" baseline="0"/>
                  <a:t> Current (A)</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4877312"/>
        <c:crosses val="autoZero"/>
        <c:crossBetween val="midCat"/>
      </c:valAx>
      <c:valAx>
        <c:axId val="174877312"/>
        <c:scaling>
          <c:orientation val="minMax"/>
        </c:scaling>
        <c:delete val="0"/>
        <c:axPos val="r"/>
        <c:title>
          <c:tx>
            <c:rich>
              <a:bodyPr rot="-5400000" spcFirstLastPara="0" vertOverflow="ellipsis" vert="horz" wrap="square" anchor="ctr" anchorCtr="1"/>
              <a:lstStyle/>
              <a:p>
                <a:pPr>
                  <a:defRPr lang="pl-PL" sz="1400" b="1" i="0" u="none" strike="noStrike" kern="1200" baseline="0">
                    <a:solidFill>
                      <a:schemeClr val="tx1"/>
                    </a:solidFill>
                    <a:latin typeface="+mn-lt"/>
                    <a:ea typeface="+mn-ea"/>
                    <a:cs typeface="+mn-cs"/>
                  </a:defRPr>
                </a:pPr>
                <a:r>
                  <a:rPr lang="en-US" sz="1400"/>
                  <a:t>Losses</a:t>
                </a:r>
                <a:r>
                  <a:rPr lang="en-US" sz="1400" baseline="0"/>
                  <a:t> (W)</a:t>
                </a:r>
                <a:endParaRPr lang="en-US" sz="1400"/>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4879488"/>
        <c:crosses val="max"/>
        <c:crossBetween val="midCat"/>
      </c:valAx>
    </c:plotArea>
    <c:legend>
      <c:legendPos val="r"/>
      <c:layout>
        <c:manualLayout>
          <c:xMode val="edge"/>
          <c:yMode val="edge"/>
          <c:x val="0.518944039261904"/>
          <c:y val="0.00648622047244094"/>
          <c:w val="0.396095729357041"/>
          <c:h val="0.121836530997006"/>
        </c:manualLayout>
      </c:layout>
      <c:overlay val="1"/>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2cd760a-0aef-445a-9430-01ae95e28fab}"/>
      </c:ext>
    </c:extLst>
  </c:chart>
  <c:spPr>
    <a:ln w="9525" cap="flat" cmpd="sng" algn="ctr">
      <a:noFill/>
      <a:prstDash val="solid"/>
      <a:round/>
    </a:ln>
  </c:spPr>
  <c:txPr>
    <a:bodyPr/>
    <a:lstStyle/>
    <a:p>
      <a:pPr>
        <a:defRPr lang="pl-PL"/>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a:t>Efficiency</a:t>
            </a:r>
            <a:endParaRPr lang="en-US"/>
          </a:p>
        </c:rich>
      </c:tx>
      <c:layout/>
      <c:overlay val="0"/>
    </c:title>
    <c:autoTitleDeleted val="0"/>
    <c:plotArea>
      <c:layout/>
      <c:scatterChart>
        <c:scatterStyle val="smooth"/>
        <c:varyColors val="0"/>
        <c:ser>
          <c:idx val="0"/>
          <c:order val="0"/>
          <c:tx>
            <c:strRef>
              <c:f>"Eff"</c:f>
              <c:strCache>
                <c:ptCount val="1"/>
                <c:pt idx="0">
                  <c:v>Eff</c:v>
                </c:pt>
              </c:strCache>
            </c:strRef>
          </c:tx>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Eff_vs_IOUT!$AT$7:$AT$157</c:f>
              <c:numCache>
                <c:formatCode>General</c:formatCode>
                <c:ptCount val="151"/>
                <c:pt idx="0">
                  <c:v>0</c:v>
                </c:pt>
                <c:pt idx="1">
                  <c:v>49.730312715273</c:v>
                </c:pt>
                <c:pt idx="2">
                  <c:v>65.8460678252945</c:v>
                </c:pt>
                <c:pt idx="3">
                  <c:v>73.7833005151075</c:v>
                </c:pt>
                <c:pt idx="4">
                  <c:v>78.7014450021683</c:v>
                </c:pt>
                <c:pt idx="5">
                  <c:v>81.8727337029403</c:v>
                </c:pt>
                <c:pt idx="6">
                  <c:v>84.1287768719601</c:v>
                </c:pt>
                <c:pt idx="7">
                  <c:v>85.8142702740571</c:v>
                </c:pt>
                <c:pt idx="8">
                  <c:v>87.1201259662472</c:v>
                </c:pt>
                <c:pt idx="9">
                  <c:v>88.1606285728306</c:v>
                </c:pt>
                <c:pt idx="10">
                  <c:v>89.0083747918034</c:v>
                </c:pt>
                <c:pt idx="11">
                  <c:v>89.7116931132123</c:v>
                </c:pt>
                <c:pt idx="12">
                  <c:v>90.3040024166113</c:v>
                </c:pt>
                <c:pt idx="13">
                  <c:v>90.8091498987654</c:v>
                </c:pt>
                <c:pt idx="14">
                  <c:v>91.2446089408246</c:v>
                </c:pt>
                <c:pt idx="15">
                  <c:v>91.6234752011929</c:v>
                </c:pt>
                <c:pt idx="16">
                  <c:v>91.9557567819312</c:v>
                </c:pt>
                <c:pt idx="17">
                  <c:v>92.2492335193325</c:v>
                </c:pt>
                <c:pt idx="18">
                  <c:v>92.5100444292433</c:v>
                </c:pt>
                <c:pt idx="19">
                  <c:v>92.7430986162862</c:v>
                </c:pt>
                <c:pt idx="20">
                  <c:v>92.9523685885396</c:v>
                </c:pt>
                <c:pt idx="21">
                  <c:v>93.1411034524972</c:v>
                </c:pt>
                <c:pt idx="22">
                  <c:v>93.3119864089571</c:v>
                </c:pt>
                <c:pt idx="23">
                  <c:v>93.4672528186342</c:v>
                </c:pt>
                <c:pt idx="24">
                  <c:v>93.6087798931287</c:v>
                </c:pt>
                <c:pt idx="25">
                  <c:v>93.7381556606606</c:v>
                </c:pt>
                <c:pt idx="26">
                  <c:v>93.8567325866079</c:v>
                </c:pt>
                <c:pt idx="27">
                  <c:v>93.9656696898488</c:v>
                </c:pt>
                <c:pt idx="28">
                  <c:v>94.0659659350686</c:v>
                </c:pt>
                <c:pt idx="29">
                  <c:v>94.1584869389665</c:v>
                </c:pt>
                <c:pt idx="30">
                  <c:v>94.2439865017993</c:v>
                </c:pt>
                <c:pt idx="31">
                  <c:v>94.3231240974318</c:v>
                </c:pt>
                <c:pt idx="32">
                  <c:v>94.3964791800727</c:v>
                </c:pt>
                <c:pt idx="33">
                  <c:v>94.4645629637442</c:v>
                </c:pt>
                <c:pt idx="34">
                  <c:v>94.5278281804355</c:v>
                </c:pt>
                <c:pt idx="35">
                  <c:v>94.5866772103473</c:v>
                </c:pt>
                <c:pt idx="36">
                  <c:v>94.6414688924962</c:v>
                </c:pt>
                <c:pt idx="37">
                  <c:v>94.6925242589893</c:v>
                </c:pt>
                <c:pt idx="38">
                  <c:v>94.7401313863273</c:v>
                </c:pt>
                <c:pt idx="39">
                  <c:v>94.7845495183882</c:v>
                </c:pt>
                <c:pt idx="40">
                  <c:v>94.8260125855422</c:v>
                </c:pt>
                <c:pt idx="41">
                  <c:v>94.8647322206261</c:v>
                </c:pt>
                <c:pt idx="42">
                  <c:v>94.9009003537474</c:v>
                </c:pt>
                <c:pt idx="43">
                  <c:v>94.934691452977</c:v>
                </c:pt>
                <c:pt idx="44">
                  <c:v>94.9662644660539</c:v>
                </c:pt>
                <c:pt idx="45">
                  <c:v>94.9957645086358</c:v>
                </c:pt>
                <c:pt idx="46">
                  <c:v>95.0233243368716</c:v>
                </c:pt>
                <c:pt idx="47">
                  <c:v>95.0490656357696</c:v>
                </c:pt>
                <c:pt idx="48">
                  <c:v>95.0731001496967</c:v>
                </c:pt>
                <c:pt idx="49">
                  <c:v>95.095530677125</c:v>
                </c:pt>
                <c:pt idx="50">
                  <c:v>95.1164519482699</c:v>
                </c:pt>
                <c:pt idx="51">
                  <c:v>95.1359514013956</c:v>
                </c:pt>
                <c:pt idx="52">
                  <c:v>95.1541098711809</c:v>
                </c:pt>
                <c:pt idx="53">
                  <c:v>95.17100220055</c:v>
                </c:pt>
                <c:pt idx="54">
                  <c:v>95.1866977857181</c:v>
                </c:pt>
                <c:pt idx="55">
                  <c:v>95.2012610628019</c:v>
                </c:pt>
                <c:pt idx="56">
                  <c:v>95.2147519431782</c:v>
                </c:pt>
                <c:pt idx="57">
                  <c:v>95.2272262037786</c:v>
                </c:pt>
                <c:pt idx="58">
                  <c:v>95.2387358376696</c:v>
                </c:pt>
                <c:pt idx="59">
                  <c:v>95.2493293695555</c:v>
                </c:pt>
                <c:pt idx="60">
                  <c:v>95.25905214023</c:v>
                </c:pt>
                <c:pt idx="61">
                  <c:v>95.2679465634855</c:v>
                </c:pt>
                <c:pt idx="62">
                  <c:v>95.2760523585412</c:v>
                </c:pt>
                <c:pt idx="63">
                  <c:v>95.28340676067</c:v>
                </c:pt>
                <c:pt idx="64">
                  <c:v>95.2900447123714</c:v>
                </c:pt>
                <c:pt idx="65">
                  <c:v>95.2959990371579</c:v>
                </c:pt>
                <c:pt idx="66">
                  <c:v>95.3013005977683</c:v>
                </c:pt>
                <c:pt idx="67">
                  <c:v>95.3059784404159</c:v>
                </c:pt>
                <c:pt idx="68">
                  <c:v>95.3100599264861</c:v>
                </c:pt>
                <c:pt idx="69">
                  <c:v>95.31357085294</c:v>
                </c:pt>
                <c:pt idx="70">
                  <c:v>95.3165355625389</c:v>
                </c:pt>
                <c:pt idx="71">
                  <c:v>95.3189770448784</c:v>
                </c:pt>
                <c:pt idx="72">
                  <c:v>95.3209170291145</c:v>
                </c:pt>
                <c:pt idx="73">
                  <c:v>95.3223760691683</c:v>
                </c:pt>
                <c:pt idx="74">
                  <c:v>95.3233736221107</c:v>
                </c:pt>
                <c:pt idx="75">
                  <c:v>95.3239281203565</c:v>
                </c:pt>
                <c:pt idx="76">
                  <c:v>95.3240570382298</c:v>
                </c:pt>
                <c:pt idx="77">
                  <c:v>95.3237769534079</c:v>
                </c:pt>
                <c:pt idx="78">
                  <c:v>95.3231036036951</c:v>
                </c:pt>
                <c:pt idx="79">
                  <c:v>95.3220519395378</c:v>
                </c:pt>
                <c:pt idx="80">
                  <c:v>95.3206361726473</c:v>
                </c:pt>
                <c:pt idx="81">
                  <c:v>95.318869821064</c:v>
                </c:pt>
                <c:pt idx="82">
                  <c:v>95.3167657509614</c:v>
                </c:pt>
                <c:pt idx="83">
                  <c:v>95.3143362154643</c:v>
                </c:pt>
                <c:pt idx="84">
                  <c:v>95.3115928907249</c:v>
                </c:pt>
                <c:pt idx="85">
                  <c:v>95.3085469094813</c:v>
                </c:pt>
                <c:pt idx="86">
                  <c:v>95.3052088923002</c:v>
                </c:pt>
                <c:pt idx="87">
                  <c:v>95.3015889766897</c:v>
                </c:pt>
                <c:pt idx="88">
                  <c:v>95.2976968442472</c:v>
                </c:pt>
                <c:pt idx="89">
                  <c:v>95.2935417459981</c:v>
                </c:pt>
                <c:pt idx="90">
                  <c:v>95.2891325260622</c:v>
                </c:pt>
                <c:pt idx="91">
                  <c:v>95.284477643777</c:v>
                </c:pt>
                <c:pt idx="92">
                  <c:v>95.2795851943919</c:v>
                </c:pt>
                <c:pt idx="93">
                  <c:v>95.2744629284423</c:v>
                </c:pt>
                <c:pt idx="94">
                  <c:v>95.269118269899</c:v>
                </c:pt>
                <c:pt idx="95">
                  <c:v>95.2635583331828</c:v>
                </c:pt>
                <c:pt idx="96">
                  <c:v>95.2577899391263</c:v>
                </c:pt>
                <c:pt idx="97">
                  <c:v>95.2518196299587</c:v>
                </c:pt>
                <c:pt idx="98">
                  <c:v>95.2456536833811</c:v>
                </c:pt>
                <c:pt idx="99">
                  <c:v>95.2392981257977</c:v>
                </c:pt>
                <c:pt idx="100">
                  <c:v>95.2327587447607</c:v>
                </c:pt>
                <c:pt idx="101">
                  <c:v>95.2260411006828</c:v>
                </c:pt>
                <c:pt idx="102">
                  <c:v>95.2191505378666</c:v>
                </c:pt>
                <c:pt idx="103">
                  <c:v>95.2120921948987</c:v>
                </c:pt>
                <c:pt idx="104">
                  <c:v>95.2048710144485</c:v>
                </c:pt>
                <c:pt idx="105">
                  <c:v>95.197491752513</c:v>
                </c:pt>
                <c:pt idx="106">
                  <c:v>95.1899589871424</c:v>
                </c:pt>
                <c:pt idx="107">
                  <c:v>95.1822771266812</c:v>
                </c:pt>
                <c:pt idx="108">
                  <c:v>95.1744504175552</c:v>
                </c:pt>
                <c:pt idx="109">
                  <c:v>95.1664829516344</c:v>
                </c:pt>
                <c:pt idx="110">
                  <c:v>95.1583786731963</c:v>
                </c:pt>
                <c:pt idx="111">
                  <c:v>95.1501413855176</c:v>
                </c:pt>
                <c:pt idx="112">
                  <c:v>95.1417747571152</c:v>
                </c:pt>
                <c:pt idx="113">
                  <c:v>95.1332823276579</c:v>
                </c:pt>
                <c:pt idx="114">
                  <c:v>95.124667513571</c:v>
                </c:pt>
                <c:pt idx="115">
                  <c:v>95.1159336133497</c:v>
                </c:pt>
                <c:pt idx="116">
                  <c:v>95.1070838126004</c:v>
                </c:pt>
                <c:pt idx="117">
                  <c:v>95.098121188826</c:v>
                </c:pt>
                <c:pt idx="118">
                  <c:v>95.0890487159689</c:v>
                </c:pt>
                <c:pt idx="119">
                  <c:v>95.0798692687276</c:v>
                </c:pt>
                <c:pt idx="120">
                  <c:v>95.070585626659</c:v>
                </c:pt>
                <c:pt idx="121">
                  <c:v>95.0612004780787</c:v>
                </c:pt>
                <c:pt idx="122">
                  <c:v>95.0517164237708</c:v>
                </c:pt>
                <c:pt idx="123">
                  <c:v>95.0421359805191</c:v>
                </c:pt>
                <c:pt idx="124">
                  <c:v>95.0324615844676</c:v>
                </c:pt>
                <c:pt idx="125">
                  <c:v>95.0226955943216</c:v>
                </c:pt>
                <c:pt idx="126">
                  <c:v>95.0128402943971</c:v>
                </c:pt>
                <c:pt idx="127">
                  <c:v>95.002897897528</c:v>
                </c:pt>
                <c:pt idx="128">
                  <c:v>94.9928705478371</c:v>
                </c:pt>
                <c:pt idx="129">
                  <c:v>94.9827603233796</c:v>
                </c:pt>
                <c:pt idx="130">
                  <c:v>94.9725692386657</c:v>
                </c:pt>
                <c:pt idx="131">
                  <c:v>94.9622992470682</c:v>
                </c:pt>
                <c:pt idx="132">
                  <c:v>94.9519522431216</c:v>
                </c:pt>
                <c:pt idx="133">
                  <c:v>94.941530064718</c:v>
                </c:pt>
                <c:pt idx="134">
                  <c:v>94.9310344952056</c:v>
                </c:pt>
                <c:pt idx="135">
                  <c:v>94.920467265395</c:v>
                </c:pt>
                <c:pt idx="136">
                  <c:v>94.9098300554766</c:v>
                </c:pt>
                <c:pt idx="137">
                  <c:v>94.8991244968552</c:v>
                </c:pt>
                <c:pt idx="138">
                  <c:v>94.888352173906</c:v>
                </c:pt>
                <c:pt idx="139">
                  <c:v>94.8775146256538</c:v>
                </c:pt>
                <c:pt idx="140">
                  <c:v>94.8666133473824</c:v>
                </c:pt>
                <c:pt idx="141">
                  <c:v>94.8556497921749</c:v>
                </c:pt>
                <c:pt idx="142">
                  <c:v>94.8446253723894</c:v>
                </c:pt>
                <c:pt idx="143">
                  <c:v>94.8335414610738</c:v>
                </c:pt>
                <c:pt idx="144">
                  <c:v>94.8223993933217</c:v>
                </c:pt>
                <c:pt idx="145">
                  <c:v>94.8112004675725</c:v>
                </c:pt>
                <c:pt idx="146">
                  <c:v>94.7999459468583</c:v>
                </c:pt>
                <c:pt idx="147">
                  <c:v>94.7886370600005</c:v>
                </c:pt>
                <c:pt idx="148">
                  <c:v>94.7772750027586</c:v>
                </c:pt>
                <c:pt idx="149">
                  <c:v>94.7658609389317</c:v>
                </c:pt>
                <c:pt idx="150">
                  <c:v>94.7543960014179</c:v>
                </c:pt>
              </c:numCache>
            </c:numRef>
          </c:yVal>
          <c:smooth val="0"/>
        </c:ser>
        <c:dLbls>
          <c:showLegendKey val="0"/>
          <c:showVal val="0"/>
          <c:showCatName val="0"/>
          <c:showSerName val="0"/>
          <c:showPercent val="0"/>
          <c:showBubbleSize val="0"/>
        </c:dLbls>
        <c:axId val="175638784"/>
        <c:axId val="175648768"/>
      </c:scatterChart>
      <c:scatterChart>
        <c:scatterStyle val="smooth"/>
        <c:varyColors val="0"/>
        <c:ser>
          <c:idx val="1"/>
          <c:order val="1"/>
          <c:tx>
            <c:strRef>
              <c:f>"MOSFET"</c:f>
              <c:strCache>
                <c:ptCount val="1"/>
                <c:pt idx="0">
                  <c:v>MOSFET</c:v>
                </c:pt>
              </c:strCache>
            </c:strRef>
          </c:tx>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Eff_vs_IOUT!$AI$7:$AI$157</c:f>
              <c:numCache>
                <c:formatCode>General</c:formatCode>
                <c:ptCount val="151"/>
                <c:pt idx="0">
                  <c:v>0</c:v>
                </c:pt>
                <c:pt idx="1">
                  <c:v>-0.00148904155505086</c:v>
                </c:pt>
                <c:pt idx="2">
                  <c:v>-0.00284052198414943</c:v>
                </c:pt>
                <c:pt idx="3">
                  <c:v>-0.00405856214831163</c:v>
                </c:pt>
                <c:pt idx="4">
                  <c:v>-0.00606680835828659</c:v>
                </c:pt>
                <c:pt idx="5">
                  <c:v>-0.00754964688117306</c:v>
                </c:pt>
                <c:pt idx="6">
                  <c:v>-0.00900991595961509</c:v>
                </c:pt>
                <c:pt idx="7">
                  <c:v>-0.0104476155936127</c:v>
                </c:pt>
                <c:pt idx="8">
                  <c:v>-0.0118627457831658</c:v>
                </c:pt>
                <c:pt idx="9">
                  <c:v>-0.0132553065282745</c:v>
                </c:pt>
                <c:pt idx="10">
                  <c:v>-0.0146252978289387</c:v>
                </c:pt>
                <c:pt idx="11">
                  <c:v>-0.0159727196851586</c:v>
                </c:pt>
                <c:pt idx="12">
                  <c:v>-0.0172975720969339</c:v>
                </c:pt>
                <c:pt idx="13">
                  <c:v>-0.0185998550642648</c:v>
                </c:pt>
                <c:pt idx="14">
                  <c:v>-0.0198795685871513</c:v>
                </c:pt>
                <c:pt idx="15">
                  <c:v>-0.0211367126655933</c:v>
                </c:pt>
                <c:pt idx="16">
                  <c:v>-0.0223712872995909</c:v>
                </c:pt>
                <c:pt idx="17">
                  <c:v>-0.023583292489144</c:v>
                </c:pt>
                <c:pt idx="18">
                  <c:v>-0.0247727282342527</c:v>
                </c:pt>
                <c:pt idx="19">
                  <c:v>-0.025939594534917</c:v>
                </c:pt>
                <c:pt idx="20">
                  <c:v>-0.0270838913911368</c:v>
                </c:pt>
                <c:pt idx="21">
                  <c:v>-0.0282056188029121</c:v>
                </c:pt>
                <c:pt idx="22">
                  <c:v>-0.0293047767702431</c:v>
                </c:pt>
                <c:pt idx="23">
                  <c:v>-0.0303813652931295</c:v>
                </c:pt>
                <c:pt idx="24">
                  <c:v>-0.0314353843715715</c:v>
                </c:pt>
                <c:pt idx="25">
                  <c:v>-0.0324668340055691</c:v>
                </c:pt>
                <c:pt idx="26">
                  <c:v>-0.0334757141951223</c:v>
                </c:pt>
                <c:pt idx="27">
                  <c:v>-0.034462024940231</c:v>
                </c:pt>
                <c:pt idx="28">
                  <c:v>-0.0354257662408952</c:v>
                </c:pt>
                <c:pt idx="29">
                  <c:v>-0.036366938097115</c:v>
                </c:pt>
                <c:pt idx="30">
                  <c:v>-0.0372855405088904</c:v>
                </c:pt>
                <c:pt idx="31">
                  <c:v>-0.0381815734762213</c:v>
                </c:pt>
                <c:pt idx="32">
                  <c:v>-0.0390550369991078</c:v>
                </c:pt>
                <c:pt idx="33">
                  <c:v>-0.0399059310775498</c:v>
                </c:pt>
                <c:pt idx="34">
                  <c:v>-0.0407342557115474</c:v>
                </c:pt>
                <c:pt idx="35">
                  <c:v>-0.0415400109011005</c:v>
                </c:pt>
                <c:pt idx="36">
                  <c:v>-0.0423231966462092</c:v>
                </c:pt>
                <c:pt idx="37">
                  <c:v>-0.0430838129468735</c:v>
                </c:pt>
                <c:pt idx="38">
                  <c:v>-0.0438218598030933</c:v>
                </c:pt>
                <c:pt idx="39">
                  <c:v>-0.0445373372148686</c:v>
                </c:pt>
                <c:pt idx="40">
                  <c:v>-0.0452302451821995</c:v>
                </c:pt>
                <c:pt idx="41">
                  <c:v>-0.045900583705086</c:v>
                </c:pt>
                <c:pt idx="42">
                  <c:v>-0.046548352783528</c:v>
                </c:pt>
                <c:pt idx="43">
                  <c:v>-0.0471735524175256</c:v>
                </c:pt>
                <c:pt idx="44">
                  <c:v>-0.0477761826070787</c:v>
                </c:pt>
                <c:pt idx="45">
                  <c:v>-0.0483562433521874</c:v>
                </c:pt>
                <c:pt idx="46">
                  <c:v>-0.0489137346528517</c:v>
                </c:pt>
                <c:pt idx="47">
                  <c:v>-0.0494486565090715</c:v>
                </c:pt>
                <c:pt idx="48">
                  <c:v>-0.0499610089208468</c:v>
                </c:pt>
                <c:pt idx="49">
                  <c:v>-0.0504507918881778</c:v>
                </c:pt>
                <c:pt idx="50">
                  <c:v>-0.0509180054110643</c:v>
                </c:pt>
                <c:pt idx="51">
                  <c:v>-0.0513626494895063</c:v>
                </c:pt>
                <c:pt idx="52">
                  <c:v>-0.0517847241235039</c:v>
                </c:pt>
                <c:pt idx="53">
                  <c:v>-0.052184229313057</c:v>
                </c:pt>
                <c:pt idx="54">
                  <c:v>-0.0525611650581657</c:v>
                </c:pt>
                <c:pt idx="55">
                  <c:v>-0.0529155313588299</c:v>
                </c:pt>
                <c:pt idx="56">
                  <c:v>-0.0532473282150497</c:v>
                </c:pt>
                <c:pt idx="57">
                  <c:v>-0.0535565556268251</c:v>
                </c:pt>
                <c:pt idx="58">
                  <c:v>-0.053843213594156</c:v>
                </c:pt>
                <c:pt idx="59">
                  <c:v>-0.0541073021170425</c:v>
                </c:pt>
                <c:pt idx="60">
                  <c:v>-0.0543488211954845</c:v>
                </c:pt>
                <c:pt idx="61">
                  <c:v>-0.0545677708294821</c:v>
                </c:pt>
                <c:pt idx="62">
                  <c:v>-0.0547641510190352</c:v>
                </c:pt>
                <c:pt idx="63">
                  <c:v>-0.0549379617641439</c:v>
                </c:pt>
                <c:pt idx="64">
                  <c:v>-0.0550892030648082</c:v>
                </c:pt>
                <c:pt idx="65">
                  <c:v>-0.055217874921028</c:v>
                </c:pt>
                <c:pt idx="66">
                  <c:v>-0.0553239773328033</c:v>
                </c:pt>
                <c:pt idx="67">
                  <c:v>-0.0554075103001342</c:v>
                </c:pt>
                <c:pt idx="68">
                  <c:v>-0.0554684738230207</c:v>
                </c:pt>
                <c:pt idx="69">
                  <c:v>-0.0555068679014627</c:v>
                </c:pt>
                <c:pt idx="70">
                  <c:v>-0.0555226925354603</c:v>
                </c:pt>
                <c:pt idx="71">
                  <c:v>-0.0555159477250134</c:v>
                </c:pt>
                <c:pt idx="72">
                  <c:v>-0.0554866334701221</c:v>
                </c:pt>
                <c:pt idx="73">
                  <c:v>-0.0554347497707864</c:v>
                </c:pt>
                <c:pt idx="74">
                  <c:v>-0.0553602966270062</c:v>
                </c:pt>
                <c:pt idx="75">
                  <c:v>-0.0552632740387815</c:v>
                </c:pt>
                <c:pt idx="76">
                  <c:v>-0.0551436820061125</c:v>
                </c:pt>
                <c:pt idx="77">
                  <c:v>-0.0550015205289989</c:v>
                </c:pt>
                <c:pt idx="78">
                  <c:v>-0.054836789607441</c:v>
                </c:pt>
                <c:pt idx="79">
                  <c:v>-0.0546494892414385</c:v>
                </c:pt>
                <c:pt idx="80">
                  <c:v>-0.0544396194309917</c:v>
                </c:pt>
                <c:pt idx="81">
                  <c:v>-0.0542071801761003</c:v>
                </c:pt>
                <c:pt idx="82">
                  <c:v>-0.0539521714767646</c:v>
                </c:pt>
                <c:pt idx="83">
                  <c:v>-0.0536745933329844</c:v>
                </c:pt>
                <c:pt idx="84">
                  <c:v>-0.0533744457447598</c:v>
                </c:pt>
                <c:pt idx="85">
                  <c:v>-0.0530517287120907</c:v>
                </c:pt>
                <c:pt idx="86">
                  <c:v>-0.0527064422349772</c:v>
                </c:pt>
                <c:pt idx="87">
                  <c:v>-0.0523385863134192</c:v>
                </c:pt>
                <c:pt idx="88">
                  <c:v>-0.0519481609474168</c:v>
                </c:pt>
                <c:pt idx="89">
                  <c:v>-0.0515351661369699</c:v>
                </c:pt>
                <c:pt idx="90">
                  <c:v>-0.0510996018820786</c:v>
                </c:pt>
                <c:pt idx="91">
                  <c:v>-0.0506414681827428</c:v>
                </c:pt>
                <c:pt idx="92">
                  <c:v>-0.0501607650389626</c:v>
                </c:pt>
                <c:pt idx="93">
                  <c:v>-0.049657492450738</c:v>
                </c:pt>
                <c:pt idx="94">
                  <c:v>-0.0491316504180689</c:v>
                </c:pt>
                <c:pt idx="95">
                  <c:v>-0.0485832389409554</c:v>
                </c:pt>
                <c:pt idx="96">
                  <c:v>-0.0480122580193974</c:v>
                </c:pt>
                <c:pt idx="97">
                  <c:v>-0.047418707653395</c:v>
                </c:pt>
                <c:pt idx="98">
                  <c:v>-0.0468025878429482</c:v>
                </c:pt>
                <c:pt idx="99">
                  <c:v>-0.0461638985880568</c:v>
                </c:pt>
                <c:pt idx="100">
                  <c:v>-0.0455026398887211</c:v>
                </c:pt>
                <c:pt idx="101">
                  <c:v>-0.0448188117449409</c:v>
                </c:pt>
                <c:pt idx="102">
                  <c:v>-0.0441124141567162</c:v>
                </c:pt>
                <c:pt idx="103">
                  <c:v>-0.0433834471240472</c:v>
                </c:pt>
                <c:pt idx="104">
                  <c:v>-0.0426319106469336</c:v>
                </c:pt>
                <c:pt idx="105">
                  <c:v>-0.0418578047253757</c:v>
                </c:pt>
                <c:pt idx="106">
                  <c:v>-0.0410611293593733</c:v>
                </c:pt>
                <c:pt idx="107">
                  <c:v>-0.0402418845489264</c:v>
                </c:pt>
                <c:pt idx="108">
                  <c:v>-0.0394000702940351</c:v>
                </c:pt>
                <c:pt idx="109">
                  <c:v>-0.0385356865946993</c:v>
                </c:pt>
                <c:pt idx="110">
                  <c:v>-0.0376487334509191</c:v>
                </c:pt>
                <c:pt idx="111">
                  <c:v>-0.0367392108626944</c:v>
                </c:pt>
                <c:pt idx="112">
                  <c:v>-0.0358071188300254</c:v>
                </c:pt>
                <c:pt idx="113">
                  <c:v>-0.0348524573529119</c:v>
                </c:pt>
                <c:pt idx="114">
                  <c:v>-0.0338752264313539</c:v>
                </c:pt>
                <c:pt idx="115">
                  <c:v>-0.0328754260653515</c:v>
                </c:pt>
                <c:pt idx="116">
                  <c:v>-0.0318530562549047</c:v>
                </c:pt>
                <c:pt idx="117">
                  <c:v>-0.0308081170000133</c:v>
                </c:pt>
                <c:pt idx="118">
                  <c:v>-0.0297406083006776</c:v>
                </c:pt>
                <c:pt idx="119">
                  <c:v>-0.0286505301568973</c:v>
                </c:pt>
                <c:pt idx="120">
                  <c:v>-0.0275378825686727</c:v>
                </c:pt>
                <c:pt idx="121">
                  <c:v>-0.0264026655360036</c:v>
                </c:pt>
                <c:pt idx="122">
                  <c:v>-0.0252448790588901</c:v>
                </c:pt>
                <c:pt idx="123">
                  <c:v>-0.0240645231373321</c:v>
                </c:pt>
                <c:pt idx="124">
                  <c:v>-0.0228615977713297</c:v>
                </c:pt>
                <c:pt idx="125">
                  <c:v>-0.0216361029608829</c:v>
                </c:pt>
                <c:pt idx="126">
                  <c:v>-0.0203880387059915</c:v>
                </c:pt>
                <c:pt idx="127">
                  <c:v>-0.0191174050066558</c:v>
                </c:pt>
                <c:pt idx="128">
                  <c:v>-0.0178242018628756</c:v>
                </c:pt>
                <c:pt idx="129">
                  <c:v>-0.016508429274651</c:v>
                </c:pt>
                <c:pt idx="130">
                  <c:v>-0.0151700872419818</c:v>
                </c:pt>
                <c:pt idx="131">
                  <c:v>-0.0138091757648683</c:v>
                </c:pt>
                <c:pt idx="132">
                  <c:v>-0.0124256948433103</c:v>
                </c:pt>
                <c:pt idx="133">
                  <c:v>-0.0110196444773079</c:v>
                </c:pt>
                <c:pt idx="134">
                  <c:v>-0.00959102466686104</c:v>
                </c:pt>
                <c:pt idx="135">
                  <c:v>-0.00813983541196978</c:v>
                </c:pt>
                <c:pt idx="136">
                  <c:v>-0.006666076712634</c:v>
                </c:pt>
                <c:pt idx="137">
                  <c:v>-0.00516974856885377</c:v>
                </c:pt>
                <c:pt idx="138">
                  <c:v>-0.00365085098062923</c:v>
                </c:pt>
                <c:pt idx="139">
                  <c:v>-0.00210938394796012</c:v>
                </c:pt>
                <c:pt idx="140">
                  <c:v>-0.000545347470846613</c:v>
                </c:pt>
                <c:pt idx="141">
                  <c:v>0.00104125845071137</c:v>
                </c:pt>
                <c:pt idx="142">
                  <c:v>0.00265043381671384</c:v>
                </c:pt>
                <c:pt idx="143">
                  <c:v>0.00428217862716065</c:v>
                </c:pt>
                <c:pt idx="144">
                  <c:v>0.00593649288205195</c:v>
                </c:pt>
                <c:pt idx="145">
                  <c:v>0.00761337658138775</c:v>
                </c:pt>
                <c:pt idx="146">
                  <c:v>0.00931282972516795</c:v>
                </c:pt>
                <c:pt idx="147">
                  <c:v>0.0110348523133926</c:v>
                </c:pt>
                <c:pt idx="148">
                  <c:v>0.0127794443460617</c:v>
                </c:pt>
                <c:pt idx="149">
                  <c:v>0.0145466058231752</c:v>
                </c:pt>
                <c:pt idx="150">
                  <c:v>0.0163363367447332</c:v>
                </c:pt>
              </c:numCache>
            </c:numRef>
          </c:yVal>
          <c:smooth val="1"/>
        </c:ser>
        <c:ser>
          <c:idx val="2"/>
          <c:order val="2"/>
          <c:tx>
            <c:strRef>
              <c:f>"Diode"</c:f>
              <c:strCache>
                <c:ptCount val="1"/>
                <c:pt idx="0">
                  <c:v>Diode</c:v>
                </c:pt>
              </c:strCache>
            </c:strRef>
          </c:tx>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Eff_vs_IOUT!$AN$7:$AN$157</c:f>
              <c:numCache>
                <c:formatCode>General</c:formatCode>
                <c:ptCount val="151"/>
                <c:pt idx="0">
                  <c:v>0</c:v>
                </c:pt>
                <c:pt idx="1">
                  <c:v>0.00541666666666667</c:v>
                </c:pt>
                <c:pt idx="2">
                  <c:v>0.0108333333333333</c:v>
                </c:pt>
                <c:pt idx="3">
                  <c:v>0.01625</c:v>
                </c:pt>
                <c:pt idx="4">
                  <c:v>0.0216666666666667</c:v>
                </c:pt>
                <c:pt idx="5">
                  <c:v>0.0270833333333333</c:v>
                </c:pt>
                <c:pt idx="6">
                  <c:v>0.0325</c:v>
                </c:pt>
                <c:pt idx="7">
                  <c:v>0.0379166666666667</c:v>
                </c:pt>
                <c:pt idx="8">
                  <c:v>0.0433333333333333</c:v>
                </c:pt>
                <c:pt idx="9">
                  <c:v>0.04875</c:v>
                </c:pt>
                <c:pt idx="10">
                  <c:v>0.0541666666666667</c:v>
                </c:pt>
                <c:pt idx="11">
                  <c:v>0.0595833333333333</c:v>
                </c:pt>
                <c:pt idx="12">
                  <c:v>0.065</c:v>
                </c:pt>
                <c:pt idx="13">
                  <c:v>0.0704166666666667</c:v>
                </c:pt>
                <c:pt idx="14">
                  <c:v>0.0758333333333333</c:v>
                </c:pt>
                <c:pt idx="15">
                  <c:v>0.08125</c:v>
                </c:pt>
                <c:pt idx="16">
                  <c:v>0.0866666666666667</c:v>
                </c:pt>
                <c:pt idx="17">
                  <c:v>0.0920833333333333</c:v>
                </c:pt>
                <c:pt idx="18">
                  <c:v>0.0975</c:v>
                </c:pt>
                <c:pt idx="19">
                  <c:v>0.102916666666667</c:v>
                </c:pt>
                <c:pt idx="20">
                  <c:v>0.108333333333333</c:v>
                </c:pt>
                <c:pt idx="21">
                  <c:v>0.11375</c:v>
                </c:pt>
                <c:pt idx="22">
                  <c:v>0.119166666666667</c:v>
                </c:pt>
                <c:pt idx="23">
                  <c:v>0.124583333333333</c:v>
                </c:pt>
                <c:pt idx="24">
                  <c:v>0.13</c:v>
                </c:pt>
                <c:pt idx="25">
                  <c:v>0.135416666666667</c:v>
                </c:pt>
                <c:pt idx="26">
                  <c:v>0.140833333333333</c:v>
                </c:pt>
                <c:pt idx="27">
                  <c:v>0.14625</c:v>
                </c:pt>
                <c:pt idx="28">
                  <c:v>0.151666666666667</c:v>
                </c:pt>
                <c:pt idx="29">
                  <c:v>0.157083333333333</c:v>
                </c:pt>
                <c:pt idx="30">
                  <c:v>0.1625</c:v>
                </c:pt>
                <c:pt idx="31">
                  <c:v>0.167916666666667</c:v>
                </c:pt>
                <c:pt idx="32">
                  <c:v>0.173333333333333</c:v>
                </c:pt>
                <c:pt idx="33">
                  <c:v>0.17875</c:v>
                </c:pt>
                <c:pt idx="34">
                  <c:v>0.184166666666667</c:v>
                </c:pt>
                <c:pt idx="35">
                  <c:v>0.189583333333333</c:v>
                </c:pt>
                <c:pt idx="36">
                  <c:v>0.195</c:v>
                </c:pt>
                <c:pt idx="37">
                  <c:v>0.200416666666667</c:v>
                </c:pt>
                <c:pt idx="38">
                  <c:v>0.205833333333333</c:v>
                </c:pt>
                <c:pt idx="39">
                  <c:v>0.21125</c:v>
                </c:pt>
                <c:pt idx="40">
                  <c:v>0.216666666666667</c:v>
                </c:pt>
                <c:pt idx="41">
                  <c:v>0.222083333333333</c:v>
                </c:pt>
                <c:pt idx="42">
                  <c:v>0.2275</c:v>
                </c:pt>
                <c:pt idx="43">
                  <c:v>0.232916666666667</c:v>
                </c:pt>
                <c:pt idx="44">
                  <c:v>0.238333333333333</c:v>
                </c:pt>
                <c:pt idx="45">
                  <c:v>0.24375</c:v>
                </c:pt>
                <c:pt idx="46">
                  <c:v>0.249166666666667</c:v>
                </c:pt>
                <c:pt idx="47">
                  <c:v>0.254583333333333</c:v>
                </c:pt>
                <c:pt idx="48">
                  <c:v>0.26</c:v>
                </c:pt>
                <c:pt idx="49">
                  <c:v>0.265416666666667</c:v>
                </c:pt>
                <c:pt idx="50">
                  <c:v>0.270833333333333</c:v>
                </c:pt>
                <c:pt idx="51">
                  <c:v>0.27625</c:v>
                </c:pt>
                <c:pt idx="52">
                  <c:v>0.281666666666667</c:v>
                </c:pt>
                <c:pt idx="53">
                  <c:v>0.287083333333333</c:v>
                </c:pt>
                <c:pt idx="54">
                  <c:v>0.2925</c:v>
                </c:pt>
                <c:pt idx="55">
                  <c:v>0.297916666666667</c:v>
                </c:pt>
                <c:pt idx="56">
                  <c:v>0.303333333333333</c:v>
                </c:pt>
                <c:pt idx="57">
                  <c:v>0.30875</c:v>
                </c:pt>
                <c:pt idx="58">
                  <c:v>0.314166666666667</c:v>
                </c:pt>
                <c:pt idx="59">
                  <c:v>0.319583333333333</c:v>
                </c:pt>
                <c:pt idx="60">
                  <c:v>0.325</c:v>
                </c:pt>
                <c:pt idx="61">
                  <c:v>0.330416666666667</c:v>
                </c:pt>
                <c:pt idx="62">
                  <c:v>0.335833333333333</c:v>
                </c:pt>
                <c:pt idx="63">
                  <c:v>0.34125</c:v>
                </c:pt>
                <c:pt idx="64">
                  <c:v>0.346666666666667</c:v>
                </c:pt>
                <c:pt idx="65">
                  <c:v>0.352083333333333</c:v>
                </c:pt>
                <c:pt idx="66">
                  <c:v>0.3575</c:v>
                </c:pt>
                <c:pt idx="67">
                  <c:v>0.362916666666667</c:v>
                </c:pt>
                <c:pt idx="68">
                  <c:v>0.368333333333333</c:v>
                </c:pt>
                <c:pt idx="69">
                  <c:v>0.37375</c:v>
                </c:pt>
                <c:pt idx="70">
                  <c:v>0.379166666666667</c:v>
                </c:pt>
                <c:pt idx="71">
                  <c:v>0.384583333333333</c:v>
                </c:pt>
                <c:pt idx="72">
                  <c:v>0.39</c:v>
                </c:pt>
                <c:pt idx="73">
                  <c:v>0.395416666666667</c:v>
                </c:pt>
                <c:pt idx="74">
                  <c:v>0.400833333333333</c:v>
                </c:pt>
                <c:pt idx="75">
                  <c:v>0.40625</c:v>
                </c:pt>
                <c:pt idx="76">
                  <c:v>0.411666666666667</c:v>
                </c:pt>
                <c:pt idx="77">
                  <c:v>0.417083333333333</c:v>
                </c:pt>
                <c:pt idx="78">
                  <c:v>0.4225</c:v>
                </c:pt>
                <c:pt idx="79">
                  <c:v>0.427916666666667</c:v>
                </c:pt>
                <c:pt idx="80">
                  <c:v>0.433333333333333</c:v>
                </c:pt>
                <c:pt idx="81">
                  <c:v>0.43875</c:v>
                </c:pt>
                <c:pt idx="82">
                  <c:v>0.444166666666667</c:v>
                </c:pt>
                <c:pt idx="83">
                  <c:v>0.449583333333333</c:v>
                </c:pt>
                <c:pt idx="84">
                  <c:v>0.455</c:v>
                </c:pt>
                <c:pt idx="85">
                  <c:v>0.460416666666667</c:v>
                </c:pt>
                <c:pt idx="86">
                  <c:v>0.465833333333333</c:v>
                </c:pt>
                <c:pt idx="87">
                  <c:v>0.47125</c:v>
                </c:pt>
                <c:pt idx="88">
                  <c:v>0.476666666666667</c:v>
                </c:pt>
                <c:pt idx="89">
                  <c:v>0.482083333333333</c:v>
                </c:pt>
                <c:pt idx="90">
                  <c:v>0.4875</c:v>
                </c:pt>
                <c:pt idx="91">
                  <c:v>0.492916666666667</c:v>
                </c:pt>
                <c:pt idx="92">
                  <c:v>0.498333333333333</c:v>
                </c:pt>
                <c:pt idx="93">
                  <c:v>0.50375</c:v>
                </c:pt>
                <c:pt idx="94">
                  <c:v>0.509166666666667</c:v>
                </c:pt>
                <c:pt idx="95">
                  <c:v>0.514583333333333</c:v>
                </c:pt>
                <c:pt idx="96">
                  <c:v>0.52</c:v>
                </c:pt>
                <c:pt idx="97">
                  <c:v>0.525416666666667</c:v>
                </c:pt>
                <c:pt idx="98">
                  <c:v>0.530833333333333</c:v>
                </c:pt>
                <c:pt idx="99">
                  <c:v>0.53625</c:v>
                </c:pt>
                <c:pt idx="100">
                  <c:v>0.541666666666667</c:v>
                </c:pt>
                <c:pt idx="101">
                  <c:v>0.547083333333333</c:v>
                </c:pt>
                <c:pt idx="102">
                  <c:v>0.5525</c:v>
                </c:pt>
                <c:pt idx="103">
                  <c:v>0.557916666666667</c:v>
                </c:pt>
                <c:pt idx="104">
                  <c:v>0.563333333333333</c:v>
                </c:pt>
                <c:pt idx="105">
                  <c:v>0.56875</c:v>
                </c:pt>
                <c:pt idx="106">
                  <c:v>0.574166666666667</c:v>
                </c:pt>
                <c:pt idx="107">
                  <c:v>0.579583333333333</c:v>
                </c:pt>
                <c:pt idx="108">
                  <c:v>0.585</c:v>
                </c:pt>
                <c:pt idx="109">
                  <c:v>0.590416666666667</c:v>
                </c:pt>
                <c:pt idx="110">
                  <c:v>0.595833333333333</c:v>
                </c:pt>
                <c:pt idx="111">
                  <c:v>0.60125</c:v>
                </c:pt>
                <c:pt idx="112">
                  <c:v>0.606666666666667</c:v>
                </c:pt>
                <c:pt idx="113">
                  <c:v>0.612083333333333</c:v>
                </c:pt>
                <c:pt idx="114">
                  <c:v>0.6175</c:v>
                </c:pt>
                <c:pt idx="115">
                  <c:v>0.622916666666667</c:v>
                </c:pt>
                <c:pt idx="116">
                  <c:v>0.628333333333333</c:v>
                </c:pt>
                <c:pt idx="117">
                  <c:v>0.63375</c:v>
                </c:pt>
                <c:pt idx="118">
                  <c:v>0.639166666666667</c:v>
                </c:pt>
                <c:pt idx="119">
                  <c:v>0.644583333333333</c:v>
                </c:pt>
                <c:pt idx="120">
                  <c:v>0.65</c:v>
                </c:pt>
                <c:pt idx="121">
                  <c:v>0.655416666666667</c:v>
                </c:pt>
                <c:pt idx="122">
                  <c:v>0.660833333333333</c:v>
                </c:pt>
                <c:pt idx="123">
                  <c:v>0.66625</c:v>
                </c:pt>
                <c:pt idx="124">
                  <c:v>0.671666666666667</c:v>
                </c:pt>
                <c:pt idx="125">
                  <c:v>0.677083333333333</c:v>
                </c:pt>
                <c:pt idx="126">
                  <c:v>0.6825</c:v>
                </c:pt>
                <c:pt idx="127">
                  <c:v>0.687916666666667</c:v>
                </c:pt>
                <c:pt idx="128">
                  <c:v>0.693333333333333</c:v>
                </c:pt>
                <c:pt idx="129">
                  <c:v>0.69875</c:v>
                </c:pt>
                <c:pt idx="130">
                  <c:v>0.704166666666667</c:v>
                </c:pt>
                <c:pt idx="131">
                  <c:v>0.709583333333333</c:v>
                </c:pt>
                <c:pt idx="132">
                  <c:v>0.715</c:v>
                </c:pt>
                <c:pt idx="133">
                  <c:v>0.720416666666667</c:v>
                </c:pt>
                <c:pt idx="134">
                  <c:v>0.725833333333333</c:v>
                </c:pt>
                <c:pt idx="135">
                  <c:v>0.73125</c:v>
                </c:pt>
                <c:pt idx="136">
                  <c:v>0.736666666666667</c:v>
                </c:pt>
                <c:pt idx="137">
                  <c:v>0.742083333333333</c:v>
                </c:pt>
                <c:pt idx="138">
                  <c:v>0.7475</c:v>
                </c:pt>
                <c:pt idx="139">
                  <c:v>0.752916666666667</c:v>
                </c:pt>
                <c:pt idx="140">
                  <c:v>0.758333333333333</c:v>
                </c:pt>
                <c:pt idx="141">
                  <c:v>0.76375</c:v>
                </c:pt>
                <c:pt idx="142">
                  <c:v>0.769166666666667</c:v>
                </c:pt>
                <c:pt idx="143">
                  <c:v>0.774583333333333</c:v>
                </c:pt>
                <c:pt idx="144">
                  <c:v>0.78</c:v>
                </c:pt>
                <c:pt idx="145">
                  <c:v>0.785416666666667</c:v>
                </c:pt>
                <c:pt idx="146">
                  <c:v>0.790833333333333</c:v>
                </c:pt>
                <c:pt idx="147">
                  <c:v>0.79625</c:v>
                </c:pt>
                <c:pt idx="148">
                  <c:v>0.801666666666667</c:v>
                </c:pt>
                <c:pt idx="149">
                  <c:v>0.807083333333333</c:v>
                </c:pt>
                <c:pt idx="150">
                  <c:v>0.8125</c:v>
                </c:pt>
              </c:numCache>
            </c:numRef>
          </c:yVal>
          <c:smooth val="1"/>
        </c:ser>
        <c:ser>
          <c:idx val="3"/>
          <c:order val="3"/>
          <c:tx>
            <c:strRef>
              <c:f>"RCS"</c:f>
              <c:strCache>
                <c:ptCount val="1"/>
                <c:pt idx="0">
                  <c:v>RCS</c:v>
                </c:pt>
              </c:strCache>
            </c:strRef>
          </c:tx>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Eff_vs_IOUT!$AO$7:$AO$157</c:f>
              <c:numCache>
                <c:formatCode>General</c:formatCode>
                <c:ptCount val="151"/>
                <c:pt idx="0">
                  <c:v>0</c:v>
                </c:pt>
                <c:pt idx="1">
                  <c:v>0.000146706873593245</c:v>
                </c:pt>
                <c:pt idx="2">
                  <c:v>0.000505046248651554</c:v>
                </c:pt>
                <c:pt idx="3">
                  <c:v>0.00106867833899658</c:v>
                </c:pt>
                <c:pt idx="4">
                  <c:v>0.000416608820398908</c:v>
                </c:pt>
                <c:pt idx="5">
                  <c:v>0.000572858820398908</c:v>
                </c:pt>
                <c:pt idx="6">
                  <c:v>0.00076383104262113</c:v>
                </c:pt>
                <c:pt idx="7">
                  <c:v>0.000989525487065575</c:v>
                </c:pt>
                <c:pt idx="8">
                  <c:v>0.00124994215373224</c:v>
                </c:pt>
                <c:pt idx="9">
                  <c:v>0.00154508104262113</c:v>
                </c:pt>
                <c:pt idx="10">
                  <c:v>0.00187494215373224</c:v>
                </c:pt>
                <c:pt idx="11">
                  <c:v>0.00223952548706557</c:v>
                </c:pt>
                <c:pt idx="12">
                  <c:v>0.00263883104262113</c:v>
                </c:pt>
                <c:pt idx="13">
                  <c:v>0.00307285882039891</c:v>
                </c:pt>
                <c:pt idx="14">
                  <c:v>0.00354160882039891</c:v>
                </c:pt>
                <c:pt idx="15">
                  <c:v>0.00404508104262113</c:v>
                </c:pt>
                <c:pt idx="16">
                  <c:v>0.00458327548706557</c:v>
                </c:pt>
                <c:pt idx="17">
                  <c:v>0.00515619215373224</c:v>
                </c:pt>
                <c:pt idx="18">
                  <c:v>0.00576383104262113</c:v>
                </c:pt>
                <c:pt idx="19">
                  <c:v>0.00640619215373224</c:v>
                </c:pt>
                <c:pt idx="20">
                  <c:v>0.00708327548706557</c:v>
                </c:pt>
                <c:pt idx="21">
                  <c:v>0.00779508104262113</c:v>
                </c:pt>
                <c:pt idx="22">
                  <c:v>0.00854160882039891</c:v>
                </c:pt>
                <c:pt idx="23">
                  <c:v>0.00932285882039891</c:v>
                </c:pt>
                <c:pt idx="24">
                  <c:v>0.0101388310426211</c:v>
                </c:pt>
                <c:pt idx="25">
                  <c:v>0.0109895254870656</c:v>
                </c:pt>
                <c:pt idx="26">
                  <c:v>0.0118749421537322</c:v>
                </c:pt>
                <c:pt idx="27">
                  <c:v>0.0127950810426211</c:v>
                </c:pt>
                <c:pt idx="28">
                  <c:v>0.0137499421537322</c:v>
                </c:pt>
                <c:pt idx="29">
                  <c:v>0.0147395254870656</c:v>
                </c:pt>
                <c:pt idx="30">
                  <c:v>0.0157638310426211</c:v>
                </c:pt>
                <c:pt idx="31">
                  <c:v>0.0168228588203989</c:v>
                </c:pt>
                <c:pt idx="32">
                  <c:v>0.0179166088203989</c:v>
                </c:pt>
                <c:pt idx="33">
                  <c:v>0.0190450810426211</c:v>
                </c:pt>
                <c:pt idx="34">
                  <c:v>0.0202082754870656</c:v>
                </c:pt>
                <c:pt idx="35">
                  <c:v>0.0214061921537322</c:v>
                </c:pt>
                <c:pt idx="36">
                  <c:v>0.0226388310426211</c:v>
                </c:pt>
                <c:pt idx="37">
                  <c:v>0.0239061921537322</c:v>
                </c:pt>
                <c:pt idx="38">
                  <c:v>0.0252082754870656</c:v>
                </c:pt>
                <c:pt idx="39">
                  <c:v>0.0265450810426211</c:v>
                </c:pt>
                <c:pt idx="40">
                  <c:v>0.0279166088203989</c:v>
                </c:pt>
                <c:pt idx="41">
                  <c:v>0.0293228588203989</c:v>
                </c:pt>
                <c:pt idx="42">
                  <c:v>0.0307638310426211</c:v>
                </c:pt>
                <c:pt idx="43">
                  <c:v>0.0322395254870656</c:v>
                </c:pt>
                <c:pt idx="44">
                  <c:v>0.0337499421537322</c:v>
                </c:pt>
                <c:pt idx="45">
                  <c:v>0.0352950810426211</c:v>
                </c:pt>
                <c:pt idx="46">
                  <c:v>0.0368749421537322</c:v>
                </c:pt>
                <c:pt idx="47">
                  <c:v>0.0384895254870656</c:v>
                </c:pt>
                <c:pt idx="48">
                  <c:v>0.0401388310426211</c:v>
                </c:pt>
                <c:pt idx="49">
                  <c:v>0.0418228588203989</c:v>
                </c:pt>
                <c:pt idx="50">
                  <c:v>0.0435416088203989</c:v>
                </c:pt>
                <c:pt idx="51">
                  <c:v>0.0452950810426211</c:v>
                </c:pt>
                <c:pt idx="52">
                  <c:v>0.0470832754870656</c:v>
                </c:pt>
                <c:pt idx="53">
                  <c:v>0.0489061921537322</c:v>
                </c:pt>
                <c:pt idx="54">
                  <c:v>0.0507638310426211</c:v>
                </c:pt>
                <c:pt idx="55">
                  <c:v>0.0526561921537322</c:v>
                </c:pt>
                <c:pt idx="56">
                  <c:v>0.0545832754870656</c:v>
                </c:pt>
                <c:pt idx="57">
                  <c:v>0.0565450810426211</c:v>
                </c:pt>
                <c:pt idx="58">
                  <c:v>0.0585416088203989</c:v>
                </c:pt>
                <c:pt idx="59">
                  <c:v>0.0605728588203989</c:v>
                </c:pt>
                <c:pt idx="60">
                  <c:v>0.0626388310426211</c:v>
                </c:pt>
                <c:pt idx="61">
                  <c:v>0.0647395254870656</c:v>
                </c:pt>
                <c:pt idx="62">
                  <c:v>0.0668749421537322</c:v>
                </c:pt>
                <c:pt idx="63">
                  <c:v>0.0690450810426211</c:v>
                </c:pt>
                <c:pt idx="64">
                  <c:v>0.0712499421537322</c:v>
                </c:pt>
                <c:pt idx="65">
                  <c:v>0.0734895254870656</c:v>
                </c:pt>
                <c:pt idx="66">
                  <c:v>0.0757638310426211</c:v>
                </c:pt>
                <c:pt idx="67">
                  <c:v>0.0780728588203989</c:v>
                </c:pt>
                <c:pt idx="68">
                  <c:v>0.0804166088203989</c:v>
                </c:pt>
                <c:pt idx="69">
                  <c:v>0.0827950810426211</c:v>
                </c:pt>
                <c:pt idx="70">
                  <c:v>0.0852082754870656</c:v>
                </c:pt>
                <c:pt idx="71">
                  <c:v>0.0876561921537323</c:v>
                </c:pt>
                <c:pt idx="72">
                  <c:v>0.0901388310426212</c:v>
                </c:pt>
                <c:pt idx="73">
                  <c:v>0.0926561921537323</c:v>
                </c:pt>
                <c:pt idx="74">
                  <c:v>0.0952082754870656</c:v>
                </c:pt>
                <c:pt idx="75">
                  <c:v>0.0977950810426211</c:v>
                </c:pt>
                <c:pt idx="76">
                  <c:v>0.100416608820399</c:v>
                </c:pt>
                <c:pt idx="77">
                  <c:v>0.103072858820399</c:v>
                </c:pt>
                <c:pt idx="78">
                  <c:v>0.105763831042621</c:v>
                </c:pt>
                <c:pt idx="79">
                  <c:v>0.108489525487066</c:v>
                </c:pt>
                <c:pt idx="80">
                  <c:v>0.111249942153732</c:v>
                </c:pt>
                <c:pt idx="81">
                  <c:v>0.114045081042621</c:v>
                </c:pt>
                <c:pt idx="82">
                  <c:v>0.116874942153732</c:v>
                </c:pt>
                <c:pt idx="83">
                  <c:v>0.119739525487066</c:v>
                </c:pt>
                <c:pt idx="84">
                  <c:v>0.122638831042621</c:v>
                </c:pt>
                <c:pt idx="85">
                  <c:v>0.125572858820399</c:v>
                </c:pt>
                <c:pt idx="86">
                  <c:v>0.128541608820399</c:v>
                </c:pt>
                <c:pt idx="87">
                  <c:v>0.131545081042621</c:v>
                </c:pt>
                <c:pt idx="88">
                  <c:v>0.134583275487066</c:v>
                </c:pt>
                <c:pt idx="89">
                  <c:v>0.137656192153732</c:v>
                </c:pt>
                <c:pt idx="90">
                  <c:v>0.140763831042621</c:v>
                </c:pt>
                <c:pt idx="91">
                  <c:v>0.143906192153732</c:v>
                </c:pt>
                <c:pt idx="92">
                  <c:v>0.147083275487066</c:v>
                </c:pt>
                <c:pt idx="93">
                  <c:v>0.150295081042621</c:v>
                </c:pt>
                <c:pt idx="94">
                  <c:v>0.153541608820399</c:v>
                </c:pt>
                <c:pt idx="95">
                  <c:v>0.156822858820399</c:v>
                </c:pt>
                <c:pt idx="96">
                  <c:v>0.160138831042621</c:v>
                </c:pt>
                <c:pt idx="97">
                  <c:v>0.163489525487066</c:v>
                </c:pt>
                <c:pt idx="98">
                  <c:v>0.166874942153732</c:v>
                </c:pt>
                <c:pt idx="99">
                  <c:v>0.170295081042621</c:v>
                </c:pt>
                <c:pt idx="100">
                  <c:v>0.173749942153732</c:v>
                </c:pt>
                <c:pt idx="101">
                  <c:v>0.177239525487066</c:v>
                </c:pt>
                <c:pt idx="102">
                  <c:v>0.180763831042621</c:v>
                </c:pt>
                <c:pt idx="103">
                  <c:v>0.184322858820399</c:v>
                </c:pt>
                <c:pt idx="104">
                  <c:v>0.187916608820399</c:v>
                </c:pt>
                <c:pt idx="105">
                  <c:v>0.191545081042621</c:v>
                </c:pt>
                <c:pt idx="106">
                  <c:v>0.195208275487066</c:v>
                </c:pt>
                <c:pt idx="107">
                  <c:v>0.198906192153732</c:v>
                </c:pt>
                <c:pt idx="108">
                  <c:v>0.202638831042621</c:v>
                </c:pt>
                <c:pt idx="109">
                  <c:v>0.206406192153732</c:v>
                </c:pt>
                <c:pt idx="110">
                  <c:v>0.210208275487066</c:v>
                </c:pt>
                <c:pt idx="111">
                  <c:v>0.214045081042621</c:v>
                </c:pt>
                <c:pt idx="112">
                  <c:v>0.217916608820399</c:v>
                </c:pt>
                <c:pt idx="113">
                  <c:v>0.221822858820399</c:v>
                </c:pt>
                <c:pt idx="114">
                  <c:v>0.225763831042621</c:v>
                </c:pt>
                <c:pt idx="115">
                  <c:v>0.229739525487066</c:v>
                </c:pt>
                <c:pt idx="116">
                  <c:v>0.233749942153732</c:v>
                </c:pt>
                <c:pt idx="117">
                  <c:v>0.237795081042621</c:v>
                </c:pt>
                <c:pt idx="118">
                  <c:v>0.241874942153732</c:v>
                </c:pt>
                <c:pt idx="119">
                  <c:v>0.245989525487066</c:v>
                </c:pt>
                <c:pt idx="120">
                  <c:v>0.250138831042621</c:v>
                </c:pt>
                <c:pt idx="121">
                  <c:v>0.254322858820399</c:v>
                </c:pt>
                <c:pt idx="122">
                  <c:v>0.258541608820399</c:v>
                </c:pt>
                <c:pt idx="123">
                  <c:v>0.262795081042621</c:v>
                </c:pt>
                <c:pt idx="124">
                  <c:v>0.267083275487066</c:v>
                </c:pt>
                <c:pt idx="125">
                  <c:v>0.271406192153732</c:v>
                </c:pt>
                <c:pt idx="126">
                  <c:v>0.275763831042621</c:v>
                </c:pt>
                <c:pt idx="127">
                  <c:v>0.280156192153732</c:v>
                </c:pt>
                <c:pt idx="128">
                  <c:v>0.284583275487066</c:v>
                </c:pt>
                <c:pt idx="129">
                  <c:v>0.289045081042621</c:v>
                </c:pt>
                <c:pt idx="130">
                  <c:v>0.293541608820399</c:v>
                </c:pt>
                <c:pt idx="131">
                  <c:v>0.298072858820399</c:v>
                </c:pt>
                <c:pt idx="132">
                  <c:v>0.302638831042621</c:v>
                </c:pt>
                <c:pt idx="133">
                  <c:v>0.307239525487066</c:v>
                </c:pt>
                <c:pt idx="134">
                  <c:v>0.311874942153732</c:v>
                </c:pt>
                <c:pt idx="135">
                  <c:v>0.316545081042621</c:v>
                </c:pt>
                <c:pt idx="136">
                  <c:v>0.321249942153732</c:v>
                </c:pt>
                <c:pt idx="137">
                  <c:v>0.325989525487066</c:v>
                </c:pt>
                <c:pt idx="138">
                  <c:v>0.330763831042621</c:v>
                </c:pt>
                <c:pt idx="139">
                  <c:v>0.335572858820399</c:v>
                </c:pt>
                <c:pt idx="140">
                  <c:v>0.340416608820399</c:v>
                </c:pt>
                <c:pt idx="141">
                  <c:v>0.345295081042621</c:v>
                </c:pt>
                <c:pt idx="142">
                  <c:v>0.350208275487066</c:v>
                </c:pt>
                <c:pt idx="143">
                  <c:v>0.355156192153732</c:v>
                </c:pt>
                <c:pt idx="144">
                  <c:v>0.360138831042621</c:v>
                </c:pt>
                <c:pt idx="145">
                  <c:v>0.365156192153732</c:v>
                </c:pt>
                <c:pt idx="146">
                  <c:v>0.370208275487066</c:v>
                </c:pt>
                <c:pt idx="147">
                  <c:v>0.375295081042621</c:v>
                </c:pt>
                <c:pt idx="148">
                  <c:v>0.380416608820399</c:v>
                </c:pt>
                <c:pt idx="149">
                  <c:v>0.385572858820399</c:v>
                </c:pt>
                <c:pt idx="150">
                  <c:v>0.390763831042621</c:v>
                </c:pt>
              </c:numCache>
            </c:numRef>
          </c:yVal>
          <c:smooth val="1"/>
        </c:ser>
        <c:dLbls>
          <c:showLegendKey val="0"/>
          <c:showVal val="0"/>
          <c:showCatName val="0"/>
          <c:showSerName val="0"/>
          <c:showPercent val="0"/>
          <c:showBubbleSize val="0"/>
        </c:dLbls>
        <c:axId val="175652224"/>
        <c:axId val="175650688"/>
      </c:scatterChart>
      <c:valAx>
        <c:axId val="175638784"/>
        <c:scaling>
          <c:orientation val="minMax"/>
          <c:max val="6"/>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648768"/>
        <c:crosses val="autoZero"/>
        <c:crossBetween val="midCat"/>
      </c:valAx>
      <c:valAx>
        <c:axId val="175648768"/>
        <c:scaling>
          <c:orientation val="minMax"/>
          <c:max val="100"/>
          <c:min val="60"/>
        </c:scaling>
        <c:delete val="0"/>
        <c:axPos val="l"/>
        <c:majorGridlines/>
        <c:title>
          <c:layout/>
          <c:overlay val="0"/>
          <c:txPr>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p>
          </c:txPr>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638784"/>
        <c:crosses val="autoZero"/>
        <c:crossBetween val="midCat"/>
      </c:valAx>
      <c:valAx>
        <c:axId val="175652224"/>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650688"/>
        <c:crosses val="autoZero"/>
        <c:crossBetween val="midCat"/>
      </c:valAx>
      <c:valAx>
        <c:axId val="175650688"/>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652224"/>
        <c:crosses val="max"/>
        <c:crossBetween val="midCat"/>
      </c:valAx>
    </c:plotArea>
    <c:legend>
      <c:legendPos val="r"/>
      <c:layout/>
      <c:overlay val="1"/>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f6eea4e-b311-416f-b1dc-ac8101a9df17}"/>
      </c:ext>
    </c:extLst>
  </c:chart>
  <c:txPr>
    <a:bodyPr/>
    <a:lstStyle/>
    <a:p>
      <a:pPr>
        <a:defRPr lang="pl-PL"/>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a:t>CCM Plant Transfer</a:t>
            </a:r>
            <a:r>
              <a:rPr lang="en-US" baseline="0"/>
              <a:t> Function</a:t>
            </a:r>
            <a:endParaRPr lang="en-US"/>
          </a:p>
        </c:rich>
      </c:tx>
      <c:layout/>
      <c:overlay val="0"/>
    </c:title>
    <c:autoTitleDeleted val="0"/>
    <c:plotArea>
      <c:layout/>
      <c:scatterChart>
        <c:scatterStyle val="smooth"/>
        <c:varyColors val="0"/>
        <c:ser>
          <c:idx val="0"/>
          <c:order val="0"/>
          <c:tx>
            <c:strRef>
              <c:f>"Gain(dB)"</c:f>
              <c:strCache>
                <c:ptCount val="1"/>
                <c:pt idx="0">
                  <c:v>Gain(dB)</c:v>
                </c:pt>
              </c:strCache>
            </c:strRef>
          </c:tx>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Loop_Modeling!$AD$19:$AD$560</c:f>
              <c:numCache>
                <c:formatCode>0.000</c:formatCode>
                <c:ptCount val="542"/>
                <c:pt idx="0">
                  <c:v>35.5324920301058</c:v>
                </c:pt>
                <c:pt idx="1">
                  <c:v>35.5310583426699</c:v>
                </c:pt>
                <c:pt idx="2">
                  <c:v>35.5295575951383</c:v>
                </c:pt>
                <c:pt idx="3">
                  <c:v>35.5279866756448</c:v>
                </c:pt>
                <c:pt idx="4">
                  <c:v>35.5263423302959</c:v>
                </c:pt>
                <c:pt idx="5">
                  <c:v>35.5246211569156</c:v>
                </c:pt>
                <c:pt idx="6">
                  <c:v>35.5228195985363</c:v>
                </c:pt>
                <c:pt idx="7">
                  <c:v>35.5209339366285</c:v>
                </c:pt>
                <c:pt idx="8">
                  <c:v>35.5189602840595</c:v>
                </c:pt>
                <c:pt idx="9">
                  <c:v>35.5168945777751</c:v>
                </c:pt>
                <c:pt idx="10">
                  <c:v>35.514732571193</c:v>
                </c:pt>
                <c:pt idx="11">
                  <c:v>35.5124698263036</c:v>
                </c:pt>
                <c:pt idx="12">
                  <c:v>35.5101017054658</c:v>
                </c:pt>
                <c:pt idx="13">
                  <c:v>35.5076233628941</c:v>
                </c:pt>
                <c:pt idx="14">
                  <c:v>35.5050297358255</c:v>
                </c:pt>
                <c:pt idx="15">
                  <c:v>35.5023155353618</c:v>
                </c:pt>
                <c:pt idx="16">
                  <c:v>35.4994752369774</c:v>
                </c:pt>
                <c:pt idx="17">
                  <c:v>35.4965030706881</c:v>
                </c:pt>
                <c:pt idx="18">
                  <c:v>35.4933930108718</c:v>
                </c:pt>
                <c:pt idx="19">
                  <c:v>35.4901387657383</c:v>
                </c:pt>
                <c:pt idx="20">
                  <c:v>35.4867337664397</c:v>
                </c:pt>
                <c:pt idx="21">
                  <c:v>35.4831711558194</c:v>
                </c:pt>
                <c:pt idx="22">
                  <c:v>35.479443776794</c:v>
                </c:pt>
                <c:pt idx="23">
                  <c:v>35.475544160366</c:v>
                </c:pt>
                <c:pt idx="24">
                  <c:v>35.4714645132653</c:v>
                </c:pt>
                <c:pt idx="25">
                  <c:v>35.4671967052193</c:v>
                </c:pt>
                <c:pt idx="26">
                  <c:v>35.4627322558505</c:v>
                </c:pt>
                <c:pt idx="27">
                  <c:v>35.4580623212065</c:v>
                </c:pt>
                <c:pt idx="28">
                  <c:v>35.4531776799229</c:v>
                </c:pt>
                <c:pt idx="29">
                  <c:v>35.4480687190276</c:v>
                </c:pt>
                <c:pt idx="30">
                  <c:v>35.442725419392</c:v>
                </c:pt>
                <c:pt idx="31">
                  <c:v>35.4371373408402</c:v>
                </c:pt>
                <c:pt idx="32">
                  <c:v>35.4312936069278</c:v>
                </c:pt>
                <c:pt idx="33">
                  <c:v>35.4251828894059</c:v>
                </c:pt>
                <c:pt idx="34">
                  <c:v>35.4187933923871</c:v>
                </c:pt>
                <c:pt idx="35">
                  <c:v>35.4121128362364</c:v>
                </c:pt>
                <c:pt idx="36">
                  <c:v>35.4051284412099</c:v>
                </c:pt>
                <c:pt idx="37">
                  <c:v>35.3978269108706</c:v>
                </c:pt>
                <c:pt idx="38">
                  <c:v>35.3901944153135</c:v>
                </c:pt>
                <c:pt idx="39">
                  <c:v>35.3822165742371</c:v>
                </c:pt>
                <c:pt idx="40">
                  <c:v>35.3738784399023</c:v>
                </c:pt>
                <c:pt idx="41">
                  <c:v>35.3651644800255</c:v>
                </c:pt>
                <c:pt idx="42">
                  <c:v>35.3560585606585</c:v>
                </c:pt>
                <c:pt idx="43">
                  <c:v>35.3465439291115</c:v>
                </c:pt>
                <c:pt idx="44">
                  <c:v>35.336603196984</c:v>
                </c:pt>
                <c:pt idx="45">
                  <c:v>35.3262183233733</c:v>
                </c:pt>
                <c:pt idx="46">
                  <c:v>35.3153705983375</c:v>
                </c:pt>
                <c:pt idx="47">
                  <c:v>35.3040406266965</c:v>
                </c:pt>
                <c:pt idx="48">
                  <c:v>35.2922083122625</c:v>
                </c:pt>
                <c:pt idx="49">
                  <c:v>35.2798528425988</c:v>
                </c:pt>
                <c:pt idx="50">
                  <c:v>35.2669526744138</c:v>
                </c:pt>
                <c:pt idx="51">
                  <c:v>35.253485519704</c:v>
                </c:pt>
                <c:pt idx="52">
                  <c:v>35.2394283327705</c:v>
                </c:pt>
                <c:pt idx="53">
                  <c:v>35.2247572982397</c:v>
                </c:pt>
                <c:pt idx="54">
                  <c:v>35.2094478202271</c:v>
                </c:pt>
                <c:pt idx="55">
                  <c:v>35.1934745127953</c:v>
                </c:pt>
                <c:pt idx="56">
                  <c:v>35.1768111918594</c:v>
                </c:pt>
                <c:pt idx="57">
                  <c:v>35.1594308687075</c:v>
                </c:pt>
                <c:pt idx="58">
                  <c:v>35.1413057453067</c:v>
                </c:pt>
                <c:pt idx="59">
                  <c:v>35.1224072115766</c:v>
                </c:pt>
                <c:pt idx="60">
                  <c:v>35.1027058448153</c:v>
                </c:pt>
                <c:pt idx="61">
                  <c:v>35.0821714114715</c:v>
                </c:pt>
                <c:pt idx="62">
                  <c:v>35.0607728714618</c:v>
                </c:pt>
                <c:pt idx="63">
                  <c:v>35.0384783852336</c:v>
                </c:pt>
                <c:pt idx="64">
                  <c:v>35.0152553237809</c:v>
                </c:pt>
                <c:pt idx="65">
                  <c:v>34.9910702818182</c:v>
                </c:pt>
                <c:pt idx="66">
                  <c:v>34.9658890943204</c:v>
                </c:pt>
                <c:pt idx="67">
                  <c:v>34.9396768566328</c:v>
                </c:pt>
                <c:pt idx="68">
                  <c:v>34.9123979483525</c:v>
                </c:pt>
                <c:pt idx="69">
                  <c:v>34.8840160611754</c:v>
                </c:pt>
                <c:pt idx="70">
                  <c:v>34.8544942308944</c:v>
                </c:pt>
                <c:pt idx="71">
                  <c:v>34.8237948737245</c:v>
                </c:pt>
                <c:pt idx="72">
                  <c:v>34.7918798271126</c:v>
                </c:pt>
                <c:pt idx="73">
                  <c:v>34.7587103951779</c:v>
                </c:pt>
                <c:pt idx="74">
                  <c:v>34.7242473989016</c:v>
                </c:pt>
                <c:pt idx="75">
                  <c:v>34.6884512311684</c:v>
                </c:pt>
                <c:pt idx="76">
                  <c:v>34.6512819167269</c:v>
                </c:pt>
                <c:pt idx="77">
                  <c:v>34.6126991771129</c:v>
                </c:pt>
                <c:pt idx="78">
                  <c:v>34.57266250054</c:v>
                </c:pt>
                <c:pt idx="79">
                  <c:v>34.5311312167284</c:v>
                </c:pt>
                <c:pt idx="80">
                  <c:v>34.4880645765977</c:v>
                </c:pt>
                <c:pt idx="81">
                  <c:v>34.4434218367122</c:v>
                </c:pt>
                <c:pt idx="82">
                  <c:v>34.3971623483142</c:v>
                </c:pt>
                <c:pt idx="83">
                  <c:v>34.3492456507366</c:v>
                </c:pt>
                <c:pt idx="84">
                  <c:v>34.2996315689334</c:v>
                </c:pt>
                <c:pt idx="85">
                  <c:v>34.2482803148158</c:v>
                </c:pt>
                <c:pt idx="86">
                  <c:v>34.1951525920275</c:v>
                </c:pt>
                <c:pt idx="87">
                  <c:v>34.1402097037408</c:v>
                </c:pt>
                <c:pt idx="88">
                  <c:v>34.0834136630016</c:v>
                </c:pt>
                <c:pt idx="89">
                  <c:v>34.0247273051026</c:v>
                </c:pt>
                <c:pt idx="90">
                  <c:v>33.9641144014109</c:v>
                </c:pt>
                <c:pt idx="91">
                  <c:v>33.9015397740369</c:v>
                </c:pt>
                <c:pt idx="92">
                  <c:v>33.8369694106831</c:v>
                </c:pt>
                <c:pt idx="93">
                  <c:v>33.7703705789798</c:v>
                </c:pt>
                <c:pt idx="94">
                  <c:v>33.7017119395813</c:v>
                </c:pt>
                <c:pt idx="95">
                  <c:v>33.6309636572733</c:v>
                </c:pt>
                <c:pt idx="96">
                  <c:v>33.5580975093245</c:v>
                </c:pt>
                <c:pt idx="97">
                  <c:v>33.4830869903082</c:v>
                </c:pt>
                <c:pt idx="98">
                  <c:v>33.4059074126183</c:v>
                </c:pt>
                <c:pt idx="99">
                  <c:v>33.3265360019158</c:v>
                </c:pt>
                <c:pt idx="100">
                  <c:v>33.2449519867576</c:v>
                </c:pt>
                <c:pt idx="101">
                  <c:v>33.1611366816909</c:v>
                </c:pt>
                <c:pt idx="102">
                  <c:v>33.0750735631331</c:v>
                </c:pt>
                <c:pt idx="103">
                  <c:v>32.9867483374035</c:v>
                </c:pt>
                <c:pt idx="104">
                  <c:v>32.8961490003319</c:v>
                </c:pt>
                <c:pt idx="105">
                  <c:v>32.8032658879302</c:v>
                </c:pt>
                <c:pt idx="106">
                  <c:v>32.7080917176893</c:v>
                </c:pt>
                <c:pt idx="107">
                  <c:v>32.6106216201384</c:v>
                </c:pt>
                <c:pt idx="108">
                  <c:v>32.5108531603888</c:v>
                </c:pt>
                <c:pt idx="109">
                  <c:v>32.4087863494753</c:v>
                </c:pt>
                <c:pt idx="110">
                  <c:v>32.3044236453949</c:v>
                </c:pt>
                <c:pt idx="111">
                  <c:v>32.1977699438384</c:v>
                </c:pt>
                <c:pt idx="112">
                  <c:v>32.0888325587029</c:v>
                </c:pt>
                <c:pt idx="113">
                  <c:v>31.9776211925627</c:v>
                </c:pt>
                <c:pt idx="114">
                  <c:v>31.8641478973681</c:v>
                </c:pt>
                <c:pt idx="115">
                  <c:v>31.7484270257214</c:v>
                </c:pt>
                <c:pt idx="116">
                  <c:v>31.6304751731653</c:v>
                </c:pt>
                <c:pt idx="117">
                  <c:v>31.5103111119849</c:v>
                </c:pt>
                <c:pt idx="118">
                  <c:v>31.387955717096</c:v>
                </c:pt>
                <c:pt idx="119">
                  <c:v>31.2634318846447</c:v>
                </c:pt>
                <c:pt idx="120">
                  <c:v>31.1367644439964</c:v>
                </c:pt>
                <c:pt idx="121">
                  <c:v>31.0079800638278</c:v>
                </c:pt>
                <c:pt idx="122">
                  <c:v>30.8771071530688</c:v>
                </c:pt>
                <c:pt idx="123">
                  <c:v>30.7441757574565</c:v>
                </c:pt>
                <c:pt idx="124">
                  <c:v>30.60921745248</c:v>
                </c:pt>
                <c:pt idx="125">
                  <c:v>30.4722652334917</c:v>
                </c:pt>
                <c:pt idx="126">
                  <c:v>30.3333534037549</c:v>
                </c:pt>
                <c:pt idx="127">
                  <c:v>30.1925174611835</c:v>
                </c:pt>
                <c:pt idx="128">
                  <c:v>30.049793984502</c:v>
                </c:pt>
                <c:pt idx="129">
                  <c:v>29.9052205195302</c:v>
                </c:pt>
                <c:pt idx="130">
                  <c:v>29.7588354662572</c:v>
                </c:pt>
                <c:pt idx="131">
                  <c:v>29.6106779673272</c:v>
                </c:pt>
                <c:pt idx="132">
                  <c:v>29.4607877985196</c:v>
                </c:pt>
                <c:pt idx="133">
                  <c:v>29.3092052617522</c:v>
                </c:pt>
                <c:pt idx="134">
                  <c:v>29.155971081089</c:v>
                </c:pt>
                <c:pt idx="135">
                  <c:v>29.0011263021807</c:v>
                </c:pt>
                <c:pt idx="136">
                  <c:v>28.8447121955128</c:v>
                </c:pt>
                <c:pt idx="137">
                  <c:v>28.6867701637842</c:v>
                </c:pt>
                <c:pt idx="138">
                  <c:v>28.5273416536862</c:v>
                </c:pt>
                <c:pt idx="139">
                  <c:v>28.3664680723022</c:v>
                </c:pt>
                <c:pt idx="140">
                  <c:v>28.2041907082976</c:v>
                </c:pt>
                <c:pt idx="141">
                  <c:v>28.0405506580255</c:v>
                </c:pt>
                <c:pt idx="142">
                  <c:v>27.8755887566269</c:v>
                </c:pt>
                <c:pt idx="143">
                  <c:v>27.7093455141661</c:v>
                </c:pt>
                <c:pt idx="144">
                  <c:v>27.5418610568018</c:v>
                </c:pt>
                <c:pt idx="145">
                  <c:v>27.3731750729615</c:v>
                </c:pt>
                <c:pt idx="146">
                  <c:v>27.2033267644567</c:v>
                </c:pt>
                <c:pt idx="147">
                  <c:v>27.0323548024446</c:v>
                </c:pt>
                <c:pt idx="148">
                  <c:v>26.860297288125</c:v>
                </c:pt>
                <c:pt idx="149">
                  <c:v>26.6871917180328</c:v>
                </c:pt>
                <c:pt idx="150">
                  <c:v>26.5130749537741</c:v>
                </c:pt>
                <c:pt idx="151">
                  <c:v>26.3379831960377</c:v>
                </c:pt>
                <c:pt idx="152">
                  <c:v>26.1619519627014</c:v>
                </c:pt>
                <c:pt idx="153">
                  <c:v>25.9850160708457</c:v>
                </c:pt>
                <c:pt idx="154">
                  <c:v>25.8072096224773</c:v>
                </c:pt>
                <c:pt idx="155">
                  <c:v>25.6285659937675</c:v>
                </c:pt>
                <c:pt idx="156">
                  <c:v>25.4491178275994</c:v>
                </c:pt>
                <c:pt idx="157">
                  <c:v>25.2688970292269</c:v>
                </c:pt>
                <c:pt idx="158">
                  <c:v>25.0879347648431</c:v>
                </c:pt>
                <c:pt idx="159">
                  <c:v>24.9062614628625</c:v>
                </c:pt>
                <c:pt idx="160">
                  <c:v>24.7239068177254</c:v>
                </c:pt>
                <c:pt idx="161">
                  <c:v>24.5408997960346</c:v>
                </c:pt>
                <c:pt idx="162">
                  <c:v>24.3572686448479</c:v>
                </c:pt>
                <c:pt idx="163">
                  <c:v>24.1730409019481</c:v>
                </c:pt>
                <c:pt idx="164">
                  <c:v>23.9882434079279</c:v>
                </c:pt>
                <c:pt idx="165">
                  <c:v>23.8029023199295</c:v>
                </c:pt>
                <c:pt idx="166">
                  <c:v>23.6170431268892</c:v>
                </c:pt>
                <c:pt idx="167">
                  <c:v>23.4306906661469</c:v>
                </c:pt>
                <c:pt idx="168">
                  <c:v>23.243869141287</c:v>
                </c:pt>
                <c:pt idx="169">
                  <c:v>23.056602141087</c:v>
                </c:pt>
                <c:pt idx="170">
                  <c:v>22.868912659459</c:v>
                </c:pt>
                <c:pt idx="171">
                  <c:v>22.6808231162779</c:v>
                </c:pt>
                <c:pt idx="172">
                  <c:v>22.4923553789969</c:v>
                </c:pt>
                <c:pt idx="173">
                  <c:v>22.3035307849622</c:v>
                </c:pt>
                <c:pt idx="174">
                  <c:v>22.114370164344</c:v>
                </c:pt>
                <c:pt idx="175">
                  <c:v>21.9248938636094</c:v>
                </c:pt>
                <c:pt idx="176">
                  <c:v>21.7351217694708</c:v>
                </c:pt>
                <c:pt idx="177">
                  <c:v>21.5450733332505</c:v>
                </c:pt>
                <c:pt idx="178">
                  <c:v>21.3547675956073</c:v>
                </c:pt>
                <c:pt idx="179">
                  <c:v>21.164223211579</c:v>
                </c:pt>
                <c:pt idx="180">
                  <c:v>20.9734584759012</c:v>
                </c:pt>
                <c:pt idx="181">
                  <c:v>20.7824913485652</c:v>
                </c:pt>
                <c:pt idx="182">
                  <c:v>20.5913394805877</c:v>
                </c:pt>
                <c:pt idx="183">
                  <c:v>20.4000202399664</c:v>
                </c:pt>
                <c:pt idx="184">
                  <c:v>20.2085507378011</c:v>
                </c:pt>
                <c:pt idx="185">
                  <c:v>20.0169478545666</c:v>
                </c:pt>
                <c:pt idx="186">
                  <c:v>19.8252282665233</c:v>
                </c:pt>
                <c:pt idx="187">
                  <c:v>19.633408472259</c:v>
                </c:pt>
                <c:pt idx="188">
                  <c:v>19.4415048193569</c:v>
                </c:pt>
                <c:pt idx="189">
                  <c:v>19.2495335311874</c:v>
                </c:pt>
                <c:pt idx="190">
                  <c:v>19.0575107338258</c:v>
                </c:pt>
                <c:pt idx="191">
                  <c:v>18.8654524830991</c:v>
                </c:pt>
                <c:pt idx="192">
                  <c:v>18.6733747917669</c:v>
                </c:pt>
                <c:pt idx="193">
                  <c:v>18.4812936568448</c:v>
                </c:pt>
                <c:pt idx="194">
                  <c:v>18.2892250870793</c:v>
                </c:pt>
                <c:pt idx="195">
                  <c:v>18.0971851305844</c:v>
                </c:pt>
                <c:pt idx="196">
                  <c:v>17.905189902652</c:v>
                </c:pt>
                <c:pt idx="197">
                  <c:v>17.713255613748</c:v>
                </c:pt>
                <c:pt idx="198">
                  <c:v>17.521398597708</c:v>
                </c:pt>
                <c:pt idx="199">
                  <c:v>17.3296353401446</c:v>
                </c:pt>
                <c:pt idx="200">
                  <c:v>17.1379825070818</c:v>
                </c:pt>
                <c:pt idx="201">
                  <c:v>16.9464569738265</c:v>
                </c:pt>
                <c:pt idx="202">
                  <c:v>16.7550758540936</c:v>
                </c:pt>
                <c:pt idx="203">
                  <c:v>16.5638565293936</c:v>
                </c:pt>
                <c:pt idx="204">
                  <c:v>16.3728166786945</c:v>
                </c:pt>
                <c:pt idx="205">
                  <c:v>16.1819743083685</c:v>
                </c:pt>
                <c:pt idx="206">
                  <c:v>15.9913477824304</c:v>
                </c:pt>
                <c:pt idx="207">
                  <c:v>15.8009558530732</c:v>
                </c:pt>
                <c:pt idx="208">
                  <c:v>15.6108176915069</c:v>
                </c:pt>
                <c:pt idx="209">
                  <c:v>15.420952919098</c:v>
                </c:pt>
                <c:pt idx="210">
                  <c:v>15.2313816388124</c:v>
                </c:pt>
                <c:pt idx="211">
                  <c:v>15.0421244669516</c:v>
                </c:pt>
                <c:pt idx="212">
                  <c:v>14.8532025651773</c:v>
                </c:pt>
                <c:pt idx="213">
                  <c:v>14.6646376728095</c:v>
                </c:pt>
                <c:pt idx="214">
                  <c:v>14.4764521393809</c:v>
                </c:pt>
                <c:pt idx="215">
                  <c:v>14.2886689574249</c:v>
                </c:pt>
                <c:pt idx="216">
                  <c:v>14.10131179547</c:v>
                </c:pt>
                <c:pt idx="217">
                  <c:v>13.9144050312056</c:v>
                </c:pt>
                <c:pt idx="218">
                  <c:v>13.7279737847806</c:v>
                </c:pt>
                <c:pt idx="219">
                  <c:v>13.5420439521852</c:v>
                </c:pt>
                <c:pt idx="220">
                  <c:v>13.3566422386653</c:v>
                </c:pt>
                <c:pt idx="221">
                  <c:v>13.1717961921007</c:v>
                </c:pt>
                <c:pt idx="222">
                  <c:v>12.987534236284</c:v>
                </c:pt>
                <c:pt idx="223">
                  <c:v>12.8038857040132</c:v>
                </c:pt>
                <c:pt idx="224">
                  <c:v>12.6208808699117</c:v>
                </c:pt>
                <c:pt idx="225">
                  <c:v>12.4385509828748</c:v>
                </c:pt>
                <c:pt idx="226">
                  <c:v>12.2569282980333</c:v>
                </c:pt>
                <c:pt idx="227">
                  <c:v>12.0760461081102</c:v>
                </c:pt>
                <c:pt idx="228">
                  <c:v>11.8959387740377</c:v>
                </c:pt>
                <c:pt idx="229">
                  <c:v>11.7166417546898</c:v>
                </c:pt>
                <c:pt idx="230">
                  <c:v>11.5381916355693</c:v>
                </c:pt>
                <c:pt idx="231">
                  <c:v>11.3606261562797</c:v>
                </c:pt>
                <c:pt idx="232">
                  <c:v>11.1839842365948</c:v>
                </c:pt>
                <c:pt idx="233">
                  <c:v>11.0083060009282</c:v>
                </c:pt>
                <c:pt idx="234">
                  <c:v>10.8336328009888</c:v>
                </c:pt>
                <c:pt idx="235">
                  <c:v>10.6600072363957</c:v>
                </c:pt>
                <c:pt idx="236">
                  <c:v>10.4874731730113</c:v>
                </c:pt>
                <c:pt idx="237">
                  <c:v>10.3160757587369</c:v>
                </c:pt>
                <c:pt idx="238">
                  <c:v>10.1458614365041</c:v>
                </c:pt>
                <c:pt idx="239">
                  <c:v>9.97687795417742</c:v>
                </c:pt>
                <c:pt idx="240">
                  <c:v>9.80917437107751</c:v>
                </c:pt>
                <c:pt idx="241">
                  <c:v>9.64280106081603</c:v>
                </c:pt>
                <c:pt idx="242">
                  <c:v>9.47780971012828</c:v>
                </c:pt>
                <c:pt idx="243">
                  <c:v>9.314253313377</c:v>
                </c:pt>
                <c:pt idx="244">
                  <c:v>9.15218616239475</c:v>
                </c:pt>
                <c:pt idx="245">
                  <c:v>8.99166383132535</c:v>
                </c:pt>
                <c:pt idx="246">
                  <c:v>8.83274315612292</c:v>
                </c:pt>
                <c:pt idx="247">
                  <c:v>8.67548220836302</c:v>
                </c:pt>
                <c:pt idx="248">
                  <c:v>8.5199402630248</c:v>
                </c:pt>
                <c:pt idx="249">
                  <c:v>8.36617775990532</c:v>
                </c:pt>
                <c:pt idx="250">
                  <c:v>8.21425625833506</c:v>
                </c:pt>
                <c:pt idx="251">
                  <c:v>8.06423838487677</c:v>
                </c:pt>
                <c:pt idx="252">
                  <c:v>7.91618777370196</c:v>
                </c:pt>
                <c:pt idx="253">
                  <c:v>7.77016899936156</c:v>
                </c:pt>
                <c:pt idx="254">
                  <c:v>7.6262475016881</c:v>
                </c:pt>
                <c:pt idx="255">
                  <c:v>7.48448950259761</c:v>
                </c:pt>
                <c:pt idx="256">
                  <c:v>7.34496191459036</c:v>
                </c:pt>
                <c:pt idx="257">
                  <c:v>7.20773224078723</c:v>
                </c:pt>
                <c:pt idx="258">
                  <c:v>7.07286846638336</c:v>
                </c:pt>
                <c:pt idx="259">
                  <c:v>6.94043894144439</c:v>
                </c:pt>
                <c:pt idx="260">
                  <c:v>6.81051225502666</c:v>
                </c:pt>
                <c:pt idx="261">
                  <c:v>6.68315710065634</c:v>
                </c:pt>
                <c:pt idx="262">
                  <c:v>6.55844213326598</c:v>
                </c:pt>
                <c:pt idx="263">
                  <c:v>6.43643581775043</c:v>
                </c:pt>
                <c:pt idx="264">
                  <c:v>6.31720626937387</c:v>
                </c:pt>
                <c:pt idx="265">
                  <c:v>6.20082108633146</c:v>
                </c:pt>
                <c:pt idx="266">
                  <c:v>6.08734717484309</c:v>
                </c:pt>
                <c:pt idx="267">
                  <c:v>5.97685056723301</c:v>
                </c:pt>
                <c:pt idx="268">
                  <c:v>5.86939623352662</c:v>
                </c:pt>
                <c:pt idx="269">
                  <c:v>5.76504788717317</c:v>
                </c:pt>
                <c:pt idx="270">
                  <c:v>5.66386778557903</c:v>
                </c:pt>
                <c:pt idx="271">
                  <c:v>5.565916526212</c:v>
                </c:pt>
                <c:pt idx="272">
                  <c:v>5.47125283910961</c:v>
                </c:pt>
                <c:pt idx="273">
                  <c:v>5.37993337669197</c:v>
                </c:pt>
                <c:pt idx="274">
                  <c:v>5.29201250184547</c:v>
                </c:pt>
                <c:pt idx="275">
                  <c:v>5.20754207530043</c:v>
                </c:pt>
                <c:pt idx="276">
                  <c:v>5.12657124337859</c:v>
                </c:pt>
                <c:pt idx="277">
                  <c:v>5.04914622723062</c:v>
                </c:pt>
                <c:pt idx="278">
                  <c:v>4.97531011471847</c:v>
                </c:pt>
                <c:pt idx="279">
                  <c:v>4.90510265612722</c:v>
                </c:pt>
                <c:pt idx="280">
                  <c:v>4.83856006490413</c:v>
                </c:pt>
                <c:pt idx="281">
                  <c:v>4.77571482463413</c:v>
                </c:pt>
                <c:pt idx="282">
                  <c:v>4.7165955034538</c:v>
                </c:pt>
                <c:pt idx="283">
                  <c:v>4.66122657709415</c:v>
                </c:pt>
                <c:pt idx="284">
                  <c:v>4.60962826171563</c:v>
                </c:pt>
                <c:pt idx="285">
                  <c:v>4.56181635766447</c:v>
                </c:pt>
                <c:pt idx="286">
                  <c:v>4.51780210523221</c:v>
                </c:pt>
                <c:pt idx="287">
                  <c:v>4.47759205344316</c:v>
                </c:pt>
                <c:pt idx="288">
                  <c:v>4.44118794282993</c:v>
                </c:pt>
                <c:pt idx="289">
                  <c:v>4.4085866030803</c:v>
                </c:pt>
                <c:pt idx="290">
                  <c:v>4.3797798663564</c:v>
                </c:pt>
                <c:pt idx="291">
                  <c:v>4.35475449699575</c:v>
                </c:pt>
                <c:pt idx="292">
                  <c:v>4.33349213820684</c:v>
                </c:pt>
                <c:pt idx="293">
                  <c:v>4.31596927626878</c:v>
                </c:pt>
                <c:pt idx="294">
                  <c:v>4.3021572226403</c:v>
                </c:pt>
                <c:pt idx="295">
                  <c:v>4.29202211426806</c:v>
                </c:pt>
                <c:pt idx="296">
                  <c:v>4.28552493228087</c:v>
                </c:pt>
                <c:pt idx="297">
                  <c:v>4.28262153913468</c:v>
                </c:pt>
                <c:pt idx="298">
                  <c:v>4.28326273416926</c:v>
                </c:pt>
                <c:pt idx="299">
                  <c:v>4.2873943274225</c:v>
                </c:pt>
                <c:pt idx="300">
                  <c:v>4.29495723144069</c:v>
                </c:pt>
                <c:pt idx="301">
                  <c:v>4.30588757072251</c:v>
                </c:pt>
                <c:pt idx="302">
                  <c:v>4.32011680833091</c:v>
                </c:pt>
                <c:pt idx="303">
                  <c:v>4.33757188911452</c:v>
                </c:pt>
                <c:pt idx="304">
                  <c:v>4.3581753988952</c:v>
                </c:pt>
                <c:pt idx="305">
                  <c:v>4.38184573889123</c:v>
                </c:pt>
                <c:pt idx="306">
                  <c:v>4.40849731457885</c:v>
                </c:pt>
                <c:pt idx="307">
                  <c:v>4.4380407381227</c:v>
                </c:pt>
                <c:pt idx="308">
                  <c:v>4.47038304345115</c:v>
                </c:pt>
                <c:pt idx="309">
                  <c:v>4.50542791300054</c:v>
                </c:pt>
                <c:pt idx="310">
                  <c:v>4.54307591511085</c:v>
                </c:pt>
                <c:pt idx="311">
                  <c:v>4.58322475101739</c:v>
                </c:pt>
                <c:pt idx="312">
                  <c:v>4.62576951035964</c:v>
                </c:pt>
                <c:pt idx="313">
                  <c:v>4.67060293410657</c:v>
                </c:pt>
                <c:pt idx="314">
                  <c:v>4.71761568378011</c:v>
                </c:pt>
                <c:pt idx="315">
                  <c:v>4.7666966158577</c:v>
                </c:pt>
                <c:pt idx="316">
                  <c:v>4.81773306022521</c:v>
                </c:pt>
                <c:pt idx="317">
                  <c:v>4.87061110155775</c:v>
                </c:pt>
                <c:pt idx="318">
                  <c:v>4.92521586251416</c:v>
                </c:pt>
                <c:pt idx="319">
                  <c:v>4.98143178763547</c:v>
                </c:pt>
                <c:pt idx="320">
                  <c:v>5.03914292685897</c:v>
                </c:pt>
                <c:pt idx="321">
                  <c:v>5.09823321756932</c:v>
                </c:pt>
                <c:pt idx="322">
                  <c:v>5.15858676413195</c:v>
                </c:pt>
                <c:pt idx="323">
                  <c:v>5.220088113873</c:v>
                </c:pt>
                <c:pt idx="324">
                  <c:v>5.28262252849215</c:v>
                </c:pt>
                <c:pt idx="325">
                  <c:v>5.34607624992358</c:v>
                </c:pt>
                <c:pt idx="326">
                  <c:v>5.41033675968237</c:v>
                </c:pt>
                <c:pt idx="327">
                  <c:v>5.47529303076743</c:v>
                </c:pt>
                <c:pt idx="328">
                  <c:v>5.54083577122039</c:v>
                </c:pt>
                <c:pt idx="329">
                  <c:v>5.60685765847535</c:v>
                </c:pt>
                <c:pt idx="330">
                  <c:v>5.67325356367128</c:v>
                </c:pt>
                <c:pt idx="331">
                  <c:v>5.73992076513935</c:v>
                </c:pt>
                <c:pt idx="332">
                  <c:v>5.80675915032049</c:v>
                </c:pt>
                <c:pt idx="333">
                  <c:v>5.87367140541934</c:v>
                </c:pt>
                <c:pt idx="334">
                  <c:v>5.94056319214912</c:v>
                </c:pt>
                <c:pt idx="335">
                  <c:v>6.00734331098435</c:v>
                </c:pt>
                <c:pt idx="336">
                  <c:v>6.07392385039543</c:v>
                </c:pt>
                <c:pt idx="337">
                  <c:v>6.14022032161007</c:v>
                </c:pt>
                <c:pt idx="338">
                  <c:v>6.20615177851578</c:v>
                </c:pt>
                <c:pt idx="339">
                  <c:v>6.27164092239484</c:v>
                </c:pt>
                <c:pt idx="340">
                  <c:v>6.33661419126421</c:v>
                </c:pt>
                <c:pt idx="341">
                  <c:v>6.40100183367693</c:v>
                </c:pt>
                <c:pt idx="342">
                  <c:v>6.46473796692775</c:v>
                </c:pt>
                <c:pt idx="343">
                  <c:v>6.52776061969711</c:v>
                </c:pt>
                <c:pt idx="344">
                  <c:v>6.59001175925859</c:v>
                </c:pt>
                <c:pt idx="345">
                  <c:v>6.65143730346363</c:v>
                </c:pt>
                <c:pt idx="346">
                  <c:v>6.71198711781245</c:v>
                </c:pt>
                <c:pt idx="347">
                  <c:v>6.77161499800474</c:v>
                </c:pt>
                <c:pt idx="348">
                  <c:v>6.8302786384522</c:v>
                </c:pt>
                <c:pt idx="349">
                  <c:v>6.88793958731635</c:v>
                </c:pt>
                <c:pt idx="350">
                  <c:v>6.94456318870964</c:v>
                </c:pt>
                <c:pt idx="351">
                  <c:v>7.0001185127724</c:v>
                </c:pt>
                <c:pt idx="352">
                  <c:v>7.05457827439543</c:v>
                </c:pt>
                <c:pt idx="353">
                  <c:v>7.10791874142001</c:v>
                </c:pt>
                <c:pt idx="354">
                  <c:v>7.16011963318769</c:v>
                </c:pt>
                <c:pt idx="355">
                  <c:v>7.21116401035398</c:v>
                </c:pt>
                <c:pt idx="356">
                  <c:v>7.26103815690632</c:v>
                </c:pt>
                <c:pt idx="357">
                  <c:v>7.30973145534524</c:v>
                </c:pt>
                <c:pt idx="358">
                  <c:v>7.35723625599744</c:v>
                </c:pt>
                <c:pt idx="359">
                  <c:v>7.40354774142798</c:v>
                </c:pt>
                <c:pt idx="360">
                  <c:v>7.44866378691006</c:v>
                </c:pt>
                <c:pt idx="361">
                  <c:v>7.4925848178926</c:v>
                </c:pt>
                <c:pt idx="362">
                  <c:v>7.53531366537847</c:v>
                </c:pt>
                <c:pt idx="363">
                  <c:v>7.57685542009403</c:v>
                </c:pt>
                <c:pt idx="364">
                  <c:v>7.61721728629066</c:v>
                </c:pt>
                <c:pt idx="365">
                  <c:v>7.65640843597132</c:v>
                </c:pt>
                <c:pt idx="366">
                  <c:v>7.69443986428656</c:v>
                </c:pt>
                <c:pt idx="367">
                  <c:v>7.7313242467897</c:v>
                </c:pt>
                <c:pt idx="368">
                  <c:v>7.76707579918187</c:v>
                </c:pt>
                <c:pt idx="369">
                  <c:v>7.80171014012091</c:v>
                </c:pt>
                <c:pt idx="370">
                  <c:v>7.83524415760415</c:v>
                </c:pt>
                <c:pt idx="371">
                  <c:v>7.86769587937784</c:v>
                </c:pt>
                <c:pt idx="372">
                  <c:v>7.89908434776198</c:v>
                </c:pt>
                <c:pt idx="373">
                  <c:v>7.9294294992218</c:v>
                </c:pt>
                <c:pt idx="374">
                  <c:v>7.95875204895884</c:v>
                </c:pt>
                <c:pt idx="375">
                  <c:v>7.98707338073839</c:v>
                </c:pt>
                <c:pt idx="376">
                  <c:v>8.01441544211843</c:v>
                </c:pt>
                <c:pt idx="377">
                  <c:v>8.0408006451933</c:v>
                </c:pt>
                <c:pt idx="378">
                  <c:v>8.06625177292042</c:v>
                </c:pt>
                <c:pt idx="379">
                  <c:v>8.09079189105562</c:v>
                </c:pt>
                <c:pt idx="380">
                  <c:v>8.11444426568084</c:v>
                </c:pt>
                <c:pt idx="381">
                  <c:v>8.13723228627511</c:v>
                </c:pt>
                <c:pt idx="382">
                  <c:v>8.1591793942465</c:v>
                </c:pt>
                <c:pt idx="383">
                  <c:v>8.18030901681521</c:v>
                </c:pt>
                <c:pt idx="384">
                  <c:v>8.20064450611224</c:v>
                </c:pt>
                <c:pt idx="385">
                  <c:v>8.22020908333896</c:v>
                </c:pt>
                <c:pt idx="386">
                  <c:v>8.23902578781469</c:v>
                </c:pt>
                <c:pt idx="387">
                  <c:v>8.25711743072279</c:v>
                </c:pt>
                <c:pt idx="388">
                  <c:v>8.27450655335977</c:v>
                </c:pt>
                <c:pt idx="389">
                  <c:v>8.29121538967575</c:v>
                </c:pt>
                <c:pt idx="390">
                  <c:v>8.30726583289542</c:v>
                </c:pt>
                <c:pt idx="391">
                  <c:v>8.32267940600084</c:v>
                </c:pt>
                <c:pt idx="392">
                  <c:v>8.3374772358567</c:v>
                </c:pt>
                <c:pt idx="393">
                  <c:v>8.35168003075863</c:v>
                </c:pt>
                <c:pt idx="394">
                  <c:v>8.36530806118758</c:v>
                </c:pt>
                <c:pt idx="395">
                  <c:v>8.37838114355533</c:v>
                </c:pt>
                <c:pt idx="396">
                  <c:v>8.39091862673187</c:v>
                </c:pt>
                <c:pt idx="397">
                  <c:v>8.40293938114934</c:v>
                </c:pt>
                <c:pt idx="398">
                  <c:v>8.41446179028463</c:v>
                </c:pt>
                <c:pt idx="399">
                  <c:v>8.42550374432975</c:v>
                </c:pt>
                <c:pt idx="400">
                  <c:v>8.43608263586536</c:v>
                </c:pt>
                <c:pt idx="401">
                  <c:v>8.44621535736265</c:v>
                </c:pt>
                <c:pt idx="402">
                  <c:v>8.45591830034596</c:v>
                </c:pt>
                <c:pt idx="403">
                  <c:v>8.46520735605527</c:v>
                </c:pt>
                <c:pt idx="404">
                  <c:v>8.47409791746143</c:v>
                </c:pt>
                <c:pt idx="405">
                  <c:v>8.48260488248882</c:v>
                </c:pt>
                <c:pt idx="406">
                  <c:v>8.49074265831338</c:v>
                </c:pt>
                <c:pt idx="407">
                  <c:v>8.49852516661081</c:v>
                </c:pt>
                <c:pt idx="408">
                  <c:v>8.50596584963868</c:v>
                </c:pt>
                <c:pt idx="409">
                  <c:v>8.51307767703991</c:v>
                </c:pt>
                <c:pt idx="410">
                  <c:v>8.51987315327159</c:v>
                </c:pt>
                <c:pt idx="411">
                  <c:v>8.52636432556079</c:v>
                </c:pt>
                <c:pt idx="412">
                  <c:v>8.53256279230144</c:v>
                </c:pt>
                <c:pt idx="413">
                  <c:v>8.53847971181407</c:v>
                </c:pt>
                <c:pt idx="414">
                  <c:v>8.54412581139238</c:v>
                </c:pt>
                <c:pt idx="415">
                  <c:v>8.54951139656997</c:v>
                </c:pt>
                <c:pt idx="416">
                  <c:v>8.55464636054622</c:v>
                </c:pt>
                <c:pt idx="417">
                  <c:v>8.55954019371279</c:v>
                </c:pt>
                <c:pt idx="418">
                  <c:v>8.56420199323272</c:v>
                </c:pt>
                <c:pt idx="419">
                  <c:v>8.56864047262156</c:v>
                </c:pt>
                <c:pt idx="420">
                  <c:v>8.57286397129242</c:v>
                </c:pt>
                <c:pt idx="421">
                  <c:v>8.57688046402384</c:v>
                </c:pt>
                <c:pt idx="422">
                  <c:v>8.58069757031819</c:v>
                </c:pt>
                <c:pt idx="423">
                  <c:v>8.58432256361963</c:v>
                </c:pt>
                <c:pt idx="424">
                  <c:v>8.58776238036352</c:v>
                </c:pt>
                <c:pt idx="425">
                  <c:v>8.59102362883397</c:v>
                </c:pt>
                <c:pt idx="426">
                  <c:v>8.59411259780705</c:v>
                </c:pt>
                <c:pt idx="427">
                  <c:v>8.59703526496164</c:v>
                </c:pt>
                <c:pt idx="428">
                  <c:v>8.59979730503983</c:v>
                </c:pt>
                <c:pt idx="429">
                  <c:v>8.60240409774288</c:v>
                </c:pt>
                <c:pt idx="430">
                  <c:v>8.60486073535037</c:v>
                </c:pt>
                <c:pt idx="431">
                  <c:v>8.60717203005027</c:v>
                </c:pt>
                <c:pt idx="432">
                  <c:v>8.60934252097067</c:v>
                </c:pt>
                <c:pt idx="433">
                  <c:v>8.6113764809056</c:v>
                </c:pt>
                <c:pt idx="434">
                  <c:v>8.61327792272674</c:v>
                </c:pt>
                <c:pt idx="435">
                  <c:v>8.61505060547588</c:v>
                </c:pt>
                <c:pt idx="436">
                  <c:v>8.61669804013234</c:v>
                </c:pt>
                <c:pt idx="437">
                  <c:v>8.61822349505179</c:v>
                </c:pt>
                <c:pt idx="438">
                  <c:v>8.61963000107204</c:v>
                </c:pt>
                <c:pt idx="439">
                  <c:v>8.62092035628322</c:v>
                </c:pt>
                <c:pt idx="440">
                  <c:v>8.62209713046068</c:v>
                </c:pt>
                <c:pt idx="441">
                  <c:v>8.62316266915655</c:v>
                </c:pt>
                <c:pt idx="442">
                  <c:v>8.62411909745016</c:v>
                </c:pt>
                <c:pt idx="443">
                  <c:v>8.62496832335518</c:v>
                </c:pt>
                <c:pt idx="444">
                  <c:v>8.62571204088161</c:v>
                </c:pt>
                <c:pt idx="445">
                  <c:v>8.6263517327521</c:v>
                </c:pt>
                <c:pt idx="446">
                  <c:v>8.62688867277213</c:v>
                </c:pt>
                <c:pt idx="447">
                  <c:v>8.62732392785134</c:v>
                </c:pt>
                <c:pt idx="448">
                  <c:v>8.62765835967651</c:v>
                </c:pt>
                <c:pt idx="449">
                  <c:v>8.62789262603496</c:v>
                </c:pt>
                <c:pt idx="450">
                  <c:v>8.62802718178592</c:v>
                </c:pt>
                <c:pt idx="451">
                  <c:v>8.62806227948053</c:v>
                </c:pt>
                <c:pt idx="452">
                  <c:v>8.6279979696277</c:v>
                </c:pt>
                <c:pt idx="453">
                  <c:v>8.62783410060436</c:v>
                </c:pt>
                <c:pt idx="454">
                  <c:v>8.6275703182093</c:v>
                </c:pt>
                <c:pt idx="455">
                  <c:v>8.62720606485746</c:v>
                </c:pt>
                <c:pt idx="456">
                  <c:v>8.62674057841353</c:v>
                </c:pt>
                <c:pt idx="457">
                  <c:v>8.62617289066202</c:v>
                </c:pt>
                <c:pt idx="458">
                  <c:v>8.62550182541131</c:v>
                </c:pt>
                <c:pt idx="459">
                  <c:v>8.62472599622873</c:v>
                </c:pt>
                <c:pt idx="460">
                  <c:v>8.62384380380406</c:v>
                </c:pt>
                <c:pt idx="461">
                  <c:v>8.62285343293868</c:v>
                </c:pt>
                <c:pt idx="462">
                  <c:v>8.62175284915536</c:v>
                </c:pt>
                <c:pt idx="463">
                  <c:v>8.6205397949265</c:v>
                </c:pt>
                <c:pt idx="464">
                  <c:v>8.61921178551772</c:v>
                </c:pt>
                <c:pt idx="465">
                  <c:v>8.61776610444031</c:v>
                </c:pt>
                <c:pt idx="466">
                  <c:v>8.61619979851181</c:v>
                </c:pt>
                <c:pt idx="467">
                  <c:v>8.61450967251807</c:v>
                </c:pt>
                <c:pt idx="468">
                  <c:v>8.61269228347418</c:v>
                </c:pt>
                <c:pt idx="469">
                  <c:v>8.61074393447937</c:v>
                </c:pt>
                <c:pt idx="470">
                  <c:v>8.60866066816261</c:v>
                </c:pt>
                <c:pt idx="471">
                  <c:v>8.60643825971379</c:v>
                </c:pt>
                <c:pt idx="472">
                  <c:v>8.60407220949775</c:v>
                </c:pt>
                <c:pt idx="473">
                  <c:v>8.60155773524709</c:v>
                </c:pt>
                <c:pt idx="474">
                  <c:v>8.59888976382982</c:v>
                </c:pt>
                <c:pt idx="475">
                  <c:v>8.59606292259063</c:v>
                </c:pt>
                <c:pt idx="476">
                  <c:v>8.59307153026114</c:v>
                </c:pt>
                <c:pt idx="477">
                  <c:v>8.58990958743858</c:v>
                </c:pt>
                <c:pt idx="478">
                  <c:v>8.58657076663104</c:v>
                </c:pt>
                <c:pt idx="479">
                  <c:v>8.58304840186919</c:v>
                </c:pt>
                <c:pt idx="480">
                  <c:v>8.57933547788421</c:v>
                </c:pt>
                <c:pt idx="481">
                  <c:v>8.5754246188536</c:v>
                </c:pt>
                <c:pt idx="482">
                  <c:v>8.5713080767172</c:v>
                </c:pt>
                <c:pt idx="483">
                  <c:v>8.56697771906824</c:v>
                </c:pt>
                <c:pt idx="484">
                  <c:v>8.5624250166227</c:v>
                </c:pt>
                <c:pt idx="485">
                  <c:v>8.55764103027617</c:v>
                </c:pt>
                <c:pt idx="486">
                  <c:v>8.55261639775579</c:v>
                </c:pt>
                <c:pt idx="487">
                  <c:v>8.54734131987803</c:v>
                </c:pt>
                <c:pt idx="488">
                  <c:v>8.5418055464269</c:v>
                </c:pt>
                <c:pt idx="489">
                  <c:v>8.53599836166623</c:v>
                </c:pt>
                <c:pt idx="490">
                  <c:v>8.52990856950678</c:v>
                </c:pt>
                <c:pt idx="491">
                  <c:v>8.52352447834727</c:v>
                </c:pt>
                <c:pt idx="492">
                  <c:v>8.5168338856162</c:v>
                </c:pt>
                <c:pt idx="493">
                  <c:v>8.50982406204167</c:v>
                </c:pt>
                <c:pt idx="494">
                  <c:v>8.5024817356814</c:v>
                </c:pt>
                <c:pt idx="495">
                  <c:v>8.49479307575016</c:v>
                </c:pt>
                <c:pt idx="496">
                  <c:v>8.48674367628445</c:v>
                </c:pt>
                <c:pt idx="497">
                  <c:v>8.47831853969142</c:v>
                </c:pt>
                <c:pt idx="498">
                  <c:v>8.4695020602314</c:v>
                </c:pt>
                <c:pt idx="499">
                  <c:v>8.46027800749238</c:v>
                </c:pt>
                <c:pt idx="500">
                  <c:v>8.45062950991678</c:v>
                </c:pt>
                <c:pt idx="501">
                  <c:v>8.44053903845025</c:v>
                </c:pt>
                <c:pt idx="502">
                  <c:v>8.42998839038773</c:v>
                </c:pt>
                <c:pt idx="503">
                  <c:v>8.41895867349673</c:v>
                </c:pt>
                <c:pt idx="504">
                  <c:v>8.40743029050995</c:v>
                </c:pt>
                <c:pt idx="505">
                  <c:v>8.39538292408026</c:v>
                </c:pt>
                <c:pt idx="506">
                  <c:v>8.38279552230605</c:v>
                </c:pt>
                <c:pt idx="507">
                  <c:v>8.36964628493476</c:v>
                </c:pt>
                <c:pt idx="508">
                  <c:v>8.35591265037012</c:v>
                </c:pt>
                <c:pt idx="509">
                  <c:v>8.3415712836065</c:v>
                </c:pt>
                <c:pt idx="510">
                  <c:v>8.3265980652321</c:v>
                </c:pt>
                <c:pt idx="511">
                  <c:v>8.31096808164346</c:v>
                </c:pt>
                <c:pt idx="512">
                  <c:v>8.29465561662568</c:v>
                </c:pt>
                <c:pt idx="513">
                  <c:v>8.27763414446197</c:v>
                </c:pt>
                <c:pt idx="514">
                  <c:v>8.25987632474033</c:v>
                </c:pt>
                <c:pt idx="515">
                  <c:v>8.24135399903625</c:v>
                </c:pt>
                <c:pt idx="516">
                  <c:v>8.2220381896561</c:v>
                </c:pt>
                <c:pt idx="517">
                  <c:v>8.20189910063002</c:v>
                </c:pt>
                <c:pt idx="518">
                  <c:v>8.18090612115495</c:v>
                </c:pt>
                <c:pt idx="519">
                  <c:v>8.1590278316844</c:v>
                </c:pt>
                <c:pt idx="520">
                  <c:v>8.13623201287277</c:v>
                </c:pt>
                <c:pt idx="521">
                  <c:v>8.11248565757978</c:v>
                </c:pt>
                <c:pt idx="522">
                  <c:v>8.08775498614233</c:v>
                </c:pt>
                <c:pt idx="523">
                  <c:v>8.06200546512049</c:v>
                </c:pt>
                <c:pt idx="524">
                  <c:v>8.03520182972002</c:v>
                </c:pt>
                <c:pt idx="525">
                  <c:v>8.0073081100896</c:v>
                </c:pt>
                <c:pt idx="526">
                  <c:v>7.9782876616827</c:v>
                </c:pt>
                <c:pt idx="527">
                  <c:v>7.9481031998638</c:v>
                </c:pt>
                <c:pt idx="528">
                  <c:v>7.9167168389259</c:v>
                </c:pt>
                <c:pt idx="529">
                  <c:v>7.88409013566898</c:v>
                </c:pt>
                <c:pt idx="530">
                  <c:v>7.85018413767278</c:v>
                </c:pt>
                <c:pt idx="531">
                  <c:v>7.81495943637074</c:v>
                </c:pt>
                <c:pt idx="532">
                  <c:v>7.77837622500888</c:v>
                </c:pt>
                <c:pt idx="533">
                  <c:v>7.74039436154535</c:v>
                </c:pt>
                <c:pt idx="534">
                  <c:v>7.7009734365084</c:v>
                </c:pt>
                <c:pt idx="535">
                  <c:v>7.6600728458017</c:v>
                </c:pt>
                <c:pt idx="536">
                  <c:v>7.6176518684</c:v>
                </c:pt>
                <c:pt idx="537">
                  <c:v>7.57366974884047</c:v>
                </c:pt>
                <c:pt idx="538">
                  <c:v>7.52808578436689</c:v>
                </c:pt>
                <c:pt idx="539">
                  <c:v>7.48085941653719</c:v>
                </c:pt>
                <c:pt idx="540">
                  <c:v>7.43195032705619</c:v>
                </c:pt>
                <c:pt idx="541">
                  <c:v>7.38131853753938</c:v>
                </c:pt>
              </c:numCache>
            </c:numRef>
          </c:yVal>
          <c:smooth val="1"/>
        </c:ser>
        <c:dLbls>
          <c:showLegendKey val="0"/>
          <c:showVal val="0"/>
          <c:showCatName val="0"/>
          <c:showSerName val="0"/>
          <c:showPercent val="0"/>
          <c:showBubbleSize val="0"/>
        </c:dLbls>
        <c:axId val="178188288"/>
        <c:axId val="178190208"/>
      </c:scatterChart>
      <c:scatterChart>
        <c:scatterStyle val="smooth"/>
        <c:varyColors val="0"/>
        <c:ser>
          <c:idx val="1"/>
          <c:order val="1"/>
          <c:tx>
            <c:strRef>
              <c:f>"Phase (deg)"</c:f>
              <c:strCache>
                <c:ptCount val="1"/>
                <c:pt idx="0">
                  <c:v>Phase (deg)</c:v>
                </c:pt>
              </c:strCache>
            </c:strRef>
          </c:tx>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Loop_Modeling!$AE$19:$AE$560</c:f>
              <c:numCache>
                <c:formatCode>General</c:formatCode>
                <c:ptCount val="542"/>
                <c:pt idx="0">
                  <c:v>-4.84661615636535</c:v>
                </c:pt>
                <c:pt idx="1">
                  <c:v>-4.95896688638773</c:v>
                </c:pt>
                <c:pt idx="2">
                  <c:v>-5.07389611142049</c:v>
                </c:pt>
                <c:pt idx="3">
                  <c:v>-5.19146116809547</c:v>
                </c:pt>
                <c:pt idx="4">
                  <c:v>-5.31172053719726</c:v>
                </c:pt>
                <c:pt idx="5">
                  <c:v>-5.43473385704071</c:v>
                </c:pt>
                <c:pt idx="6">
                  <c:v>-5.56056193625997</c:v>
                </c:pt>
                <c:pt idx="7">
                  <c:v>-5.68926676593745</c:v>
                </c:pt>
                <c:pt idx="8">
                  <c:v>-5.82091153099526</c:v>
                </c:pt>
                <c:pt idx="9">
                  <c:v>-5.95556062076602</c:v>
                </c:pt>
                <c:pt idx="10">
                  <c:v>-6.09327963865412</c:v>
                </c:pt>
                <c:pt idx="11">
                  <c:v>-6.2341354107947</c:v>
                </c:pt>
                <c:pt idx="12">
                  <c:v>-6.37819599360592</c:v>
                </c:pt>
                <c:pt idx="13">
                  <c:v>-6.5255306801305</c:v>
                </c:pt>
                <c:pt idx="14">
                  <c:v>-6.67621000504787</c:v>
                </c:pt>
                <c:pt idx="15">
                  <c:v>-6.83030574823876</c:v>
                </c:pt>
                <c:pt idx="16">
                  <c:v>-6.98789093676772</c:v>
                </c:pt>
                <c:pt idx="17">
                  <c:v>-7.14903984514951</c:v>
                </c:pt>
                <c:pt idx="18">
                  <c:v>-7.31382799374953</c:v>
                </c:pt>
                <c:pt idx="19">
                  <c:v>-7.48233214516529</c:v>
                </c:pt>
                <c:pt idx="20">
                  <c:v>-7.65463029842224</c:v>
                </c:pt>
                <c:pt idx="21">
                  <c:v>-7.83080168081133</c:v>
                </c:pt>
                <c:pt idx="22">
                  <c:v>-8.01092673718378</c:v>
                </c:pt>
                <c:pt idx="23">
                  <c:v>-8.19508711650867</c:v>
                </c:pt>
                <c:pt idx="24">
                  <c:v>-8.38336565548906</c:v>
                </c:pt>
                <c:pt idx="25">
                  <c:v>-8.5758463590218</c:v>
                </c:pt>
                <c:pt idx="26">
                  <c:v>-8.77261437727321</c:v>
                </c:pt>
                <c:pt idx="27">
                  <c:v>-8.9737559791355</c:v>
                </c:pt>
                <c:pt idx="28">
                  <c:v>-9.1793585218124</c:v>
                </c:pt>
                <c:pt idx="29">
                  <c:v>-9.38951041627668</c:v>
                </c:pt>
                <c:pt idx="30">
                  <c:v>-9.60430108832495</c:v>
                </c:pt>
                <c:pt idx="31">
                  <c:v>-9.82382093494891</c:v>
                </c:pt>
                <c:pt idx="32">
                  <c:v>-10.0481612757266</c:v>
                </c:pt>
                <c:pt idx="33">
                  <c:v>-10.2774142989294</c:v>
                </c:pt>
                <c:pt idx="34">
                  <c:v>-10.5116730020275</c:v>
                </c:pt>
                <c:pt idx="35">
                  <c:v>-10.7510311262663</c:v>
                </c:pt>
                <c:pt idx="36">
                  <c:v>-10.9955830849778</c:v>
                </c:pt>
                <c:pt idx="37">
                  <c:v>-11.2454238852801</c:v>
                </c:pt>
                <c:pt idx="38">
                  <c:v>-11.5006490428119</c:v>
                </c:pt>
                <c:pt idx="39">
                  <c:v>-11.7613544891388</c:v>
                </c:pt>
                <c:pt idx="40">
                  <c:v>-12.0276364714646</c:v>
                </c:pt>
                <c:pt idx="41">
                  <c:v>-12.2995914442777</c:v>
                </c:pt>
                <c:pt idx="42">
                  <c:v>-12.5773159525545</c:v>
                </c:pt>
                <c:pt idx="43">
                  <c:v>-12.8609065061474</c:v>
                </c:pt>
                <c:pt idx="44">
                  <c:v>-13.150459444984</c:v>
                </c:pt>
                <c:pt idx="45">
                  <c:v>-13.4460707947064</c:v>
                </c:pt>
                <c:pt idx="46">
                  <c:v>-13.7478361123899</c:v>
                </c:pt>
                <c:pt idx="47">
                  <c:v>-14.0558503219918</c:v>
                </c:pt>
                <c:pt idx="48">
                  <c:v>-14.3702075391886</c:v>
                </c:pt>
                <c:pt idx="49">
                  <c:v>-14.6910008852885</c:v>
                </c:pt>
                <c:pt idx="50">
                  <c:v>-15.0183222899178</c:v>
                </c:pt>
                <c:pt idx="51">
                  <c:v>-15.3522622822187</c:v>
                </c:pt>
                <c:pt idx="52">
                  <c:v>-15.6929097703185</c:v>
                </c:pt>
                <c:pt idx="53">
                  <c:v>-16.0403518088762</c:v>
                </c:pt>
                <c:pt idx="54">
                  <c:v>-16.3946733545576</c:v>
                </c:pt>
                <c:pt idx="55">
                  <c:v>-16.7559570093334</c:v>
                </c:pt>
                <c:pt idx="56">
                  <c:v>-17.1242827515665</c:v>
                </c:pt>
                <c:pt idx="57">
                  <c:v>-17.4997276549078</c:v>
                </c:pt>
                <c:pt idx="58">
                  <c:v>-17.8823655951045</c:v>
                </c:pt>
                <c:pt idx="59">
                  <c:v>-18.2722669448986</c:v>
                </c:pt>
                <c:pt idx="60">
                  <c:v>-18.6694982572898</c:v>
                </c:pt>
                <c:pt idx="61">
                  <c:v>-19.0741219375318</c:v>
                </c:pt>
                <c:pt idx="62">
                  <c:v>-19.4861959043403</c:v>
                </c:pt>
                <c:pt idx="63">
                  <c:v>-19.905773240908</c:v>
                </c:pt>
                <c:pt idx="64">
                  <c:v>-20.3329018364437</c:v>
                </c:pt>
                <c:pt idx="65">
                  <c:v>-20.767624019088</c:v>
                </c:pt>
                <c:pt idx="66">
                  <c:v>-21.2099761811988</c:v>
                </c:pt>
                <c:pt idx="67">
                  <c:v>-21.6599883981446</c:v>
                </c:pt>
                <c:pt idx="68">
                  <c:v>-22.1176840419017</c:v>
                </c:pt>
                <c:pt idx="69">
                  <c:v>-22.5830793909097</c:v>
                </c:pt>
                <c:pt idx="70">
                  <c:v>-23.0561832378033</c:v>
                </c:pt>
                <c:pt idx="71">
                  <c:v>-23.5369964968047</c:v>
                </c:pt>
                <c:pt idx="72">
                  <c:v>-24.0255118127322</c:v>
                </c:pt>
                <c:pt idx="73">
                  <c:v>-24.5217131737443</c:v>
                </c:pt>
                <c:pt idx="74">
                  <c:v>-25.025575530105</c:v>
                </c:pt>
                <c:pt idx="75">
                  <c:v>-25.5370644214148</c:v>
                </c:pt>
                <c:pt idx="76">
                  <c:v>-26.0561356149043</c:v>
                </c:pt>
                <c:pt idx="77">
                  <c:v>-26.5827347575242</c:v>
                </c:pt>
                <c:pt idx="78">
                  <c:v>-27.116797044698</c:v>
                </c:pt>
                <c:pt idx="79">
                  <c:v>-27.6582469087076</c:v>
                </c:pt>
                <c:pt idx="80">
                  <c:v>-28.2069977297763</c:v>
                </c:pt>
                <c:pt idx="81">
                  <c:v>-28.7629515729757</c:v>
                </c:pt>
                <c:pt idx="82">
                  <c:v>-29.3259989541258</c:v>
                </c:pt>
                <c:pt idx="83">
                  <c:v>-29.8960186378639</c:v>
                </c:pt>
                <c:pt idx="84">
                  <c:v>-30.4728774710349</c:v>
                </c:pt>
                <c:pt idx="85">
                  <c:v>-31.0564302544949</c:v>
                </c:pt>
                <c:pt idx="86">
                  <c:v>-31.6465196563229</c:v>
                </c:pt>
                <c:pt idx="87">
                  <c:v>-32.2429761692907</c:v>
                </c:pt>
                <c:pt idx="88">
                  <c:v>-32.8456181152694</c:v>
                </c:pt>
                <c:pt idx="89">
                  <c:v>-33.4542516990131</c:v>
                </c:pt>
                <c:pt idx="90">
                  <c:v>-34.0686711135064</c:v>
                </c:pt>
                <c:pt idx="91">
                  <c:v>-34.6886586987373</c:v>
                </c:pt>
                <c:pt idx="92">
                  <c:v>-35.3139851554161</c:v>
                </c:pt>
                <c:pt idx="93">
                  <c:v>-35.944409814762</c:v>
                </c:pt>
                <c:pt idx="94">
                  <c:v>-36.579680965052</c:v>
                </c:pt>
                <c:pt idx="95">
                  <c:v>-37.2195362351684</c:v>
                </c:pt>
                <c:pt idx="96">
                  <c:v>-37.8637030348899</c:v>
                </c:pt>
                <c:pt idx="97">
                  <c:v>-38.511899051164</c:v>
                </c:pt>
                <c:pt idx="98">
                  <c:v>-39.1638327990742</c:v>
                </c:pt>
                <c:pt idx="99">
                  <c:v>-39.8192042256796</c:v>
                </c:pt>
                <c:pt idx="100">
                  <c:v>-40.4777053643743</c:v>
                </c:pt>
                <c:pt idx="101">
                  <c:v>-41.1390210368919</c:v>
                </c:pt>
                <c:pt idx="102">
                  <c:v>-41.8028295995631</c:v>
                </c:pt>
                <c:pt idx="103">
                  <c:v>-42.4688037299644</c:v>
                </c:pt>
                <c:pt idx="104">
                  <c:v>-43.1366112496293</c:v>
                </c:pt>
                <c:pt idx="105">
                  <c:v>-43.8059159781012</c:v>
                </c:pt>
                <c:pt idx="106">
                  <c:v>-44.4763786132288</c:v>
                </c:pt>
                <c:pt idx="107">
                  <c:v>-45.1476576323131</c:v>
                </c:pt>
                <c:pt idx="108">
                  <c:v>-45.8194102084617</c:v>
                </c:pt>
                <c:pt idx="109">
                  <c:v>-46.4912931363274</c:v>
                </c:pt>
                <c:pt idx="110">
                  <c:v>-47.1629637612957</c:v>
                </c:pt>
                <c:pt idx="111">
                  <c:v>-47.8340809061525</c:v>
                </c:pt>
                <c:pt idx="112">
                  <c:v>-48.5043057892802</c:v>
                </c:pt>
                <c:pt idx="113">
                  <c:v>-49.1733029285508</c:v>
                </c:pt>
                <c:pt idx="114">
                  <c:v>-49.8407410252334</c:v>
                </c:pt>
                <c:pt idx="115">
                  <c:v>-50.5062938225018</c:v>
                </c:pt>
                <c:pt idx="116">
                  <c:v>-51.1696409333873</c:v>
                </c:pt>
                <c:pt idx="117">
                  <c:v>-51.8304686334147</c:v>
                </c:pt>
                <c:pt idx="118">
                  <c:v>-52.4884706135342</c:v>
                </c:pt>
                <c:pt idx="119">
                  <c:v>-53.1433486894233</c:v>
                </c:pt>
                <c:pt idx="120">
                  <c:v>-53.7948134637071</c:v>
                </c:pt>
                <c:pt idx="121">
                  <c:v>-54.4425849381524</c:v>
                </c:pt>
                <c:pt idx="122">
                  <c:v>-55.0863930734097</c:v>
                </c:pt>
                <c:pt idx="123">
                  <c:v>-55.7259782944192</c:v>
                </c:pt>
                <c:pt idx="124">
                  <c:v>-56.3610919401193</c:v>
                </c:pt>
                <c:pt idx="125">
                  <c:v>-56.9914966566274</c:v>
                </c:pt>
                <c:pt idx="126">
                  <c:v>-57.6169667335763</c:v>
                </c:pt>
                <c:pt idx="127">
                  <c:v>-58.2372883837738</c:v>
                </c:pt>
                <c:pt idx="128">
                  <c:v>-58.8522599668301</c:v>
                </c:pt>
                <c:pt idx="129">
                  <c:v>-59.4616921578159</c:v>
                </c:pt>
                <c:pt idx="130">
                  <c:v>-60.0654080624176</c:v>
                </c:pt>
                <c:pt idx="131">
                  <c:v>-60.6632432804209</c:v>
                </c:pt>
                <c:pt idx="132">
                  <c:v>-61.2550459196558</c:v>
                </c:pt>
                <c:pt idx="133">
                  <c:v>-61.840676562826</c:v>
                </c:pt>
                <c:pt idx="134">
                  <c:v>-62.4200081898576</c:v>
                </c:pt>
                <c:pt idx="135">
                  <c:v>-62.9929260586141</c:v>
                </c:pt>
                <c:pt idx="136">
                  <c:v>-63.559327546939</c:v>
                </c:pt>
                <c:pt idx="137">
                  <c:v>-64.1191219591201</c:v>
                </c:pt>
                <c:pt idx="138">
                  <c:v>-64.6722302999141</c:v>
                </c:pt>
                <c:pt idx="139">
                  <c:v>-65.2185850193116</c:v>
                </c:pt>
                <c:pt idx="140">
                  <c:v>-65.7581297312068</c:v>
                </c:pt>
                <c:pt idx="141">
                  <c:v>-66.2908189091127</c:v>
                </c:pt>
                <c:pt idx="142">
                  <c:v>-66.8166175619885</c:v>
                </c:pt>
                <c:pt idx="143">
                  <c:v>-67.3355008931677</c:v>
                </c:pt>
                <c:pt idx="144">
                  <c:v>-67.8474539452617</c:v>
                </c:pt>
                <c:pt idx="145">
                  <c:v>-68.3524712337939</c:v>
                </c:pt>
                <c:pt idx="146">
                  <c:v>-68.8505563721752</c:v>
                </c:pt>
                <c:pt idx="147">
                  <c:v>-69.3417216904873</c:v>
                </c:pt>
                <c:pt idx="148">
                  <c:v>-69.8259878503749</c:v>
                </c:pt>
                <c:pt idx="149">
                  <c:v>-70.30338345819</c:v>
                </c:pt>
                <c:pt idx="150">
                  <c:v>-70.773944678361</c:v>
                </c:pt>
                <c:pt idx="151">
                  <c:v>-71.2377148487892</c:v>
                </c:pt>
                <c:pt idx="152">
                  <c:v>-71.6947440999123</c:v>
                </c:pt>
                <c:pt idx="153">
                  <c:v>-72.1450889789055</c:v>
                </c:pt>
                <c:pt idx="154">
                  <c:v>-72.5888120803335</c:v>
                </c:pt>
                <c:pt idx="155">
                  <c:v>-73.0259816844044</c:v>
                </c:pt>
                <c:pt idx="156">
                  <c:v>-73.4566714038395</c:v>
                </c:pt>
                <c:pt idx="157">
                  <c:v>-73.8809598402164</c:v>
                </c:pt>
                <c:pt idx="158">
                  <c:v>-74.2989302505195</c:v>
                </c:pt>
                <c:pt idx="159">
                  <c:v>-74.7106702245</c:v>
                </c:pt>
                <c:pt idx="160">
                  <c:v>-75.1162713733322</c:v>
                </c:pt>
                <c:pt idx="161">
                  <c:v>-75.5158290299415</c:v>
                </c:pt>
                <c:pt idx="162">
                  <c:v>-75.9094419612803</c:v>
                </c:pt>
                <c:pt idx="163">
                  <c:v>-76.2972120927363</c:v>
                </c:pt>
                <c:pt idx="164">
                  <c:v>-76.6792442447716</c:v>
                </c:pt>
                <c:pt idx="165">
                  <c:v>-77.0556458818161</c:v>
                </c:pt>
                <c:pt idx="166">
                  <c:v>-77.4265268733723</c:v>
                </c:pt>
                <c:pt idx="167">
                  <c:v>-77.7919992672256</c:v>
                </c:pt>
                <c:pt idx="168">
                  <c:v>-78.152177074601</c:v>
                </c:pt>
                <c:pt idx="169">
                  <c:v>-78.5071760670618</c:v>
                </c:pt>
                <c:pt idx="170">
                  <c:v>-78.8571135849021</c:v>
                </c:pt>
                <c:pt idx="171">
                  <c:v>-79.2021083567524</c:v>
                </c:pt>
                <c:pt idx="172">
                  <c:v>-79.5422803300873</c:v>
                </c:pt>
                <c:pt idx="173">
                  <c:v>-79.877750512297</c:v>
                </c:pt>
                <c:pt idx="174">
                  <c:v>-80.2086408219678</c:v>
                </c:pt>
                <c:pt idx="175">
                  <c:v>-80.5350739499962</c:v>
                </c:pt>
                <c:pt idx="176">
                  <c:v>-80.8571732301515</c:v>
                </c:pt>
                <c:pt idx="177">
                  <c:v>-81.1750625186918</c:v>
                </c:pt>
                <c:pt idx="178">
                  <c:v>-81.4888660826276</c:v>
                </c:pt>
                <c:pt idx="179">
                  <c:v>-81.79870849623</c:v>
                </c:pt>
                <c:pt idx="180">
                  <c:v>-82.1047145453728</c:v>
                </c:pt>
                <c:pt idx="181">
                  <c:v>-82.4070091392997</c:v>
                </c:pt>
                <c:pt idx="182">
                  <c:v>-82.7057172294104</c:v>
                </c:pt>
                <c:pt idx="183">
                  <c:v>-83.0009637346609</c:v>
                </c:pt>
                <c:pt idx="184">
                  <c:v>-83.2928734731779</c:v>
                </c:pt>
                <c:pt idx="185">
                  <c:v>-83.5815710996943</c:v>
                </c:pt>
                <c:pt idx="186">
                  <c:v>-83.8671810484149</c:v>
                </c:pt>
                <c:pt idx="187">
                  <c:v>-84.1498274809307</c:v>
                </c:pt>
                <c:pt idx="188">
                  <c:v>-84.4296342388079</c:v>
                </c:pt>
                <c:pt idx="189">
                  <c:v>-84.7067248004811</c:v>
                </c:pt>
                <c:pt idx="190">
                  <c:v>-84.9812222420919</c:v>
                </c:pt>
                <c:pt idx="191">
                  <c:v>-85.2532492019184</c:v>
                </c:pt>
                <c:pt idx="192">
                  <c:v>-85.5229278480504</c:v>
                </c:pt>
                <c:pt idx="193">
                  <c:v>-85.7903798489708</c:v>
                </c:pt>
                <c:pt idx="194">
                  <c:v>-86.0557263467132</c:v>
                </c:pt>
                <c:pt idx="195">
                  <c:v>-86.3190879322681</c:v>
                </c:pt>
                <c:pt idx="196">
                  <c:v>-86.5805846229237</c:v>
                </c:pt>
                <c:pt idx="197">
                  <c:v>-86.8403358412248</c:v>
                </c:pt>
                <c:pt idx="198">
                  <c:v>-87.0984603952475</c:v>
                </c:pt>
                <c:pt idx="199">
                  <c:v>-87.3550764598868</c:v>
                </c:pt>
                <c:pt idx="200">
                  <c:v>-87.6103015588628</c:v>
                </c:pt>
                <c:pt idx="201">
                  <c:v>-87.864252547155</c:v>
                </c:pt>
                <c:pt idx="202">
                  <c:v>-88.1170455935784</c:v>
                </c:pt>
                <c:pt idx="203">
                  <c:v>-88.3687961632187</c:v>
                </c:pt>
                <c:pt idx="204">
                  <c:v>-88.6196189994509</c:v>
                </c:pt>
                <c:pt idx="205">
                  <c:v>-88.8696281052644</c:v>
                </c:pt>
                <c:pt idx="206">
                  <c:v>-89.118936723625</c:v>
                </c:pt>
                <c:pt idx="207">
                  <c:v>-89.3676573166048</c:v>
                </c:pt>
                <c:pt idx="208">
                  <c:v>-89.6159015430191</c:v>
                </c:pt>
                <c:pt idx="209">
                  <c:v>-89.8637802343042</c:v>
                </c:pt>
                <c:pt idx="210">
                  <c:v>-90.1114033683815</c:v>
                </c:pt>
                <c:pt idx="211">
                  <c:v>-90.3588800412544</c:v>
                </c:pt>
                <c:pt idx="212">
                  <c:v>-90.6063184360848</c:v>
                </c:pt>
                <c:pt idx="213">
                  <c:v>-90.8538257895061</c:v>
                </c:pt>
                <c:pt idx="214">
                  <c:v>-91.1015083549299</c:v>
                </c:pt>
                <c:pt idx="215">
                  <c:v>-91.3494713626135</c:v>
                </c:pt>
                <c:pt idx="216">
                  <c:v>-91.5978189762566</c:v>
                </c:pt>
                <c:pt idx="217">
                  <c:v>-91.8466542459099</c:v>
                </c:pt>
                <c:pt idx="218">
                  <c:v>-92.0960790569803</c:v>
                </c:pt>
                <c:pt idx="219">
                  <c:v>-92.3461940751345</c:v>
                </c:pt>
                <c:pt idx="220">
                  <c:v>-92.5970986869094</c:v>
                </c:pt>
                <c:pt idx="221">
                  <c:v>-92.8488909358558</c:v>
                </c:pt>
                <c:pt idx="222">
                  <c:v>-93.1016674540556</c:v>
                </c:pt>
                <c:pt idx="223">
                  <c:v>-93.3555233888733</c:v>
                </c:pt>
                <c:pt idx="224">
                  <c:v>-93.6105523248217</c:v>
                </c:pt>
                <c:pt idx="225">
                  <c:v>-93.8668462004492</c:v>
                </c:pt>
                <c:pt idx="226">
                  <c:v>-94.1244952201802</c:v>
                </c:pt>
                <c:pt idx="227">
                  <c:v>-94.383587761074</c:v>
                </c:pt>
                <c:pt idx="228">
                  <c:v>-94.6442102745008</c:v>
                </c:pt>
                <c:pt idx="229">
                  <c:v>-94.9064471827732</c:v>
                </c:pt>
                <c:pt idx="230">
                  <c:v>-95.1703807708146</c:v>
                </c:pt>
                <c:pt idx="231">
                  <c:v>-95.4360910729937</c:v>
                </c:pt>
                <c:pt idx="232">
                  <c:v>-95.7036557553071</c:v>
                </c:pt>
                <c:pt idx="233">
                  <c:v>-95.9731499931506</c:v>
                </c:pt>
                <c:pt idx="234">
                  <c:v>-96.2446463449802</c:v>
                </c:pt>
                <c:pt idx="235">
                  <c:v>-96.5182146222355</c:v>
                </c:pt>
                <c:pt idx="236">
                  <c:v>-96.7939217559677</c:v>
                </c:pt>
                <c:pt idx="237">
                  <c:v>-97.0718316606967</c:v>
                </c:pt>
                <c:pt idx="238">
                  <c:v>-97.3520050961043</c:v>
                </c:pt>
                <c:pt idx="239">
                  <c:v>-97.6344995272572</c:v>
                </c:pt>
                <c:pt idx="240">
                  <c:v>-97.919368984152</c:v>
                </c:pt>
                <c:pt idx="241">
                  <c:v>-98.2066639214676</c:v>
                </c:pt>
                <c:pt idx="242">
                  <c:v>-98.496431079513</c:v>
                </c:pt>
                <c:pt idx="243">
                  <c:v>-98.7887133474653</c:v>
                </c:pt>
                <c:pt idx="244">
                  <c:v>-99.0835496300946</c:v>
                </c:pt>
                <c:pt idx="245">
                  <c:v>-99.3809747192838</c:v>
                </c:pt>
                <c:pt idx="246">
                  <c:v>-99.6810191717549</c:v>
                </c:pt>
                <c:pt idx="247">
                  <c:v>-99.9837091945183</c:v>
                </c:pt>
                <c:pt idx="248">
                  <c:v>-100.289066539667</c:v>
                </c:pt>
                <c:pt idx="249">
                  <c:v>-100.597108410228</c:v>
                </c:pt>
                <c:pt idx="250">
                  <c:v>-100.907847378866</c:v>
                </c:pt>
                <c:pt idx="251">
                  <c:v>-101.221291321341</c:v>
                </c:pt>
                <c:pt idx="252">
                  <c:v>-101.537443366635</c:v>
                </c:pt>
                <c:pt idx="253">
                  <c:v>-101.856301865767</c:v>
                </c:pt>
                <c:pt idx="254">
                  <c:v>-102.17786038132</c:v>
                </c:pt>
                <c:pt idx="255">
                  <c:v>-102.502107699712</c:v>
                </c:pt>
                <c:pt idx="256">
                  <c:v>-102.829027868242</c:v>
                </c:pt>
                <c:pt idx="257">
                  <c:v>-103.158600258907</c:v>
                </c:pt>
                <c:pt idx="258">
                  <c:v>-103.490799660897</c:v>
                </c:pt>
                <c:pt idx="259">
                  <c:v>-103.825596403596</c:v>
                </c:pt>
                <c:pt idx="260">
                  <c:v>-104.16295651176</c:v>
                </c:pt>
                <c:pt idx="261">
                  <c:v>-104.502841894399</c:v>
                </c:pt>
                <c:pt idx="262">
                  <c:v>-104.845210568638</c:v>
                </c:pt>
                <c:pt idx="263">
                  <c:v>-105.19001691961</c:v>
                </c:pt>
                <c:pt idx="264">
                  <c:v>-105.53721199714</c:v>
                </c:pt>
                <c:pt idx="265">
                  <c:v>-105.886743849622</c:v>
                </c:pt>
                <c:pt idx="266">
                  <c:v>-106.238557895135</c:v>
                </c:pt>
                <c:pt idx="267">
                  <c:v>-106.592597329438</c:v>
                </c:pt>
                <c:pt idx="268">
                  <c:v>-106.948803570012</c:v>
                </c:pt>
                <c:pt idx="269">
                  <c:v>-107.307116734863</c:v>
                </c:pt>
                <c:pt idx="270">
                  <c:v>-107.667476154271</c:v>
                </c:pt>
                <c:pt idx="271">
                  <c:v>-108.029820913174</c:v>
                </c:pt>
                <c:pt idx="272">
                  <c:v>-108.394090421284</c:v>
                </c:pt>
                <c:pt idx="273">
                  <c:v>-108.760225007546</c:v>
                </c:pt>
                <c:pt idx="274">
                  <c:v>-109.128166534953</c:v>
                </c:pt>
                <c:pt idx="275">
                  <c:v>-109.497859031219</c:v>
                </c:pt>
                <c:pt idx="276">
                  <c:v>-109.869249330301</c:v>
                </c:pt>
                <c:pt idx="277">
                  <c:v>-110.242287719287</c:v>
                </c:pt>
                <c:pt idx="278">
                  <c:v>-110.616928584694</c:v>
                </c:pt>
                <c:pt idx="279">
                  <c:v>-110.993131051895</c:v>
                </c:pt>
                <c:pt idx="280">
                  <c:v>-111.370859611031</c:v>
                </c:pt>
                <c:pt idx="281">
                  <c:v>-111.750084722534</c:v>
                </c:pt>
                <c:pt idx="282">
                  <c:v>-112.130783395226</c:v>
                </c:pt>
                <c:pt idx="283">
                  <c:v>-112.512939729894</c:v>
                </c:pt>
                <c:pt idx="284">
                  <c:v>-112.896545421255</c:v>
                </c:pt>
                <c:pt idx="285">
                  <c:v>-113.28160021135</c:v>
                </c:pt>
                <c:pt idx="286">
                  <c:v>-113.668112287662</c:v>
                </c:pt>
                <c:pt idx="287">
                  <c:v>-114.056098619547</c:v>
                </c:pt>
                <c:pt idx="288">
                  <c:v>-114.445585227044</c:v>
                </c:pt>
                <c:pt idx="289">
                  <c:v>-114.836607376647</c:v>
                </c:pt>
                <c:pt idx="290">
                  <c:v>-115.229209699256</c:v>
                </c:pt>
                <c:pt idx="291">
                  <c:v>-115.62344622625</c:v>
                </c:pt>
                <c:pt idx="292">
                  <c:v>-116.019380340407</c:v>
                </c:pt>
                <c:pt idx="293">
                  <c:v>-116.417084639264</c:v>
                </c:pt>
                <c:pt idx="294">
                  <c:v>-116.816640709423</c:v>
                </c:pt>
                <c:pt idx="295">
                  <c:v>-117.218138811231</c:v>
                </c:pt>
                <c:pt idx="296">
                  <c:v>-117.621677474281</c:v>
                </c:pt>
                <c:pt idx="297">
                  <c:v>-118.027363005101</c:v>
                </c:pt>
                <c:pt idx="298">
                  <c:v>-118.435308909417</c:v>
                </c:pt>
                <c:pt idx="299">
                  <c:v>-118.845635232295</c:v>
                </c:pt>
                <c:pt idx="300">
                  <c:v>-119.258467820376</c:v>
                </c:pt>
                <c:pt idx="301">
                  <c:v>-119.673937511295</c:v>
                </c:pt>
                <c:pt idx="302">
                  <c:v>-120.092179256147</c:v>
                </c:pt>
                <c:pt idx="303">
                  <c:v>-120.513331181605</c:v>
                </c:pt>
                <c:pt idx="304">
                  <c:v>-120.937533598898</c:v>
                </c:pt>
                <c:pt idx="305">
                  <c:v>-121.364927967465</c:v>
                </c:pt>
                <c:pt idx="306">
                  <c:v>-121.795655821484</c:v>
                </c:pt>
                <c:pt idx="307">
                  <c:v>-122.229857667883</c:v>
                </c:pt>
                <c:pt idx="308">
                  <c:v>-122.667671864682</c:v>
                </c:pt>
                <c:pt idx="309">
                  <c:v>-123.109233488658</c:v>
                </c:pt>
                <c:pt idx="310">
                  <c:v>-123.554673201402</c:v>
                </c:pt>
                <c:pt idx="311">
                  <c:v>-124.004116122815</c:v>
                </c:pt>
                <c:pt idx="312">
                  <c:v>-124.45768072094</c:v>
                </c:pt>
                <c:pt idx="313">
                  <c:v>-124.915477726848</c:v>
                </c:pt>
                <c:pt idx="314">
                  <c:v>-125.377609083022</c:v>
                </c:pt>
                <c:pt idx="315">
                  <c:v>-125.844166933315</c:v>
                </c:pt>
                <c:pt idx="316">
                  <c:v>-126.315232662163</c:v>
                </c:pt>
                <c:pt idx="317">
                  <c:v>-126.790875990265</c:v>
                </c:pt>
                <c:pt idx="318">
                  <c:v>-127.271154133431</c:v>
                </c:pt>
                <c:pt idx="319">
                  <c:v>-127.756111030749</c:v>
                </c:pt>
                <c:pt idx="320">
                  <c:v>-128.245776647607</c:v>
                </c:pt>
                <c:pt idx="321">
                  <c:v>-128.740166358536</c:v>
                </c:pt>
                <c:pt idx="322">
                  <c:v>-129.239280414142</c:v>
                </c:pt>
                <c:pt idx="323">
                  <c:v>-129.743103495779</c:v>
                </c:pt>
                <c:pt idx="324">
                  <c:v>-130.251604360902</c:v>
                </c:pt>
                <c:pt idx="325">
                  <c:v>-130.764735581383</c:v>
                </c:pt>
                <c:pt idx="326">
                  <c:v>-131.282433376354</c:v>
                </c:pt>
                <c:pt idx="327">
                  <c:v>-131.804617540448</c:v>
                </c:pt>
                <c:pt idx="328">
                  <c:v>-132.331191467636</c:v>
                </c:pt>
                <c:pt idx="329">
                  <c:v>-132.862042270113</c:v>
                </c:pt>
                <c:pt idx="330">
                  <c:v>-133.397040991058</c:v>
                </c:pt>
                <c:pt idx="331">
                  <c:v>-133.936042909363</c:v>
                </c:pt>
                <c:pt idx="332">
                  <c:v>-134.478887933814</c:v>
                </c:pt>
                <c:pt idx="333">
                  <c:v>-135.025401083519</c:v>
                </c:pt>
                <c:pt idx="334">
                  <c:v>-135.575393050798</c:v>
                </c:pt>
                <c:pt idx="335">
                  <c:v>-136.128660842143</c:v>
                </c:pt>
                <c:pt idx="336">
                  <c:v>-136.684988492311</c:v>
                </c:pt>
                <c:pt idx="337">
                  <c:v>-137.244147846099</c:v>
                </c:pt>
                <c:pt idx="338">
                  <c:v>-137.805899401871</c:v>
                </c:pt>
                <c:pt idx="339">
                  <c:v>-138.369993210521</c:v>
                </c:pt>
                <c:pt idx="340">
                  <c:v>-138.936169823156</c:v>
                </c:pt>
                <c:pt idx="341">
                  <c:v>-139.504161280522</c:v>
                </c:pt>
                <c:pt idx="342">
                  <c:v>-140.073692136925</c:v>
                </c:pt>
                <c:pt idx="343">
                  <c:v>-140.644480511269</c:v>
                </c:pt>
                <c:pt idx="344">
                  <c:v>-141.21623915771</c:v>
                </c:pt>
                <c:pt idx="345">
                  <c:v>-141.78867654842</c:v>
                </c:pt>
                <c:pt idx="346">
                  <c:v>-142.361497960992</c:v>
                </c:pt>
                <c:pt idx="347">
                  <c:v>-142.934406563159</c:v>
                </c:pt>
                <c:pt idx="348">
                  <c:v>-143.507104487682</c:v>
                </c:pt>
                <c:pt idx="349">
                  <c:v>-144.079293890524</c:v>
                </c:pt>
                <c:pt idx="350">
                  <c:v>-144.650677985768</c:v>
                </c:pt>
                <c:pt idx="351">
                  <c:v>-145.220962051121</c:v>
                </c:pt>
                <c:pt idx="352">
                  <c:v>-145.789854398266</c:v>
                </c:pt>
                <c:pt idx="353">
                  <c:v>-146.35706730285</c:v>
                </c:pt>
                <c:pt idx="354">
                  <c:v>-146.92231788938</c:v>
                </c:pt>
                <c:pt idx="355">
                  <c:v>-147.485328966892</c:v>
                </c:pt>
                <c:pt idx="356">
                  <c:v>-148.045829811817</c:v>
                </c:pt>
                <c:pt idx="357">
                  <c:v>-148.60355689506</c:v>
                </c:pt>
                <c:pt idx="358">
                  <c:v>-149.158254550926</c:v>
                </c:pt>
                <c:pt idx="359">
                  <c:v>-149.709675586109</c:v>
                </c:pt>
                <c:pt idx="360">
                  <c:v>-150.25758182754</c:v>
                </c:pt>
                <c:pt idx="361">
                  <c:v>-150.801744608485</c:v>
                </c:pt>
                <c:pt idx="362">
                  <c:v>-151.341945192806</c:v>
                </c:pt>
                <c:pt idx="363">
                  <c:v>-151.877975137814</c:v>
                </c:pt>
                <c:pt idx="364">
                  <c:v>-152.409636596641</c:v>
                </c:pt>
                <c:pt idx="365">
                  <c:v>-152.936742561481</c:v>
                </c:pt>
                <c:pt idx="366">
                  <c:v>-153.459117049446</c:v>
                </c:pt>
                <c:pt idx="367">
                  <c:v>-153.976595233166</c:v>
                </c:pt>
                <c:pt idx="368">
                  <c:v>-154.489023518525</c:v>
                </c:pt>
                <c:pt idx="369">
                  <c:v>-154.996259572228</c:v>
                </c:pt>
                <c:pt idx="370">
                  <c:v>-155.498172302081</c:v>
                </c:pt>
                <c:pt idx="371">
                  <c:v>-155.994641793058</c:v>
                </c:pt>
                <c:pt idx="372">
                  <c:v>-156.485559202322</c:v>
                </c:pt>
                <c:pt idx="373">
                  <c:v>-156.970826616501</c:v>
                </c:pt>
                <c:pt idx="374">
                  <c:v>-157.450356874508</c:v>
                </c:pt>
                <c:pt idx="375">
                  <c:v>-157.924073359259</c:v>
                </c:pt>
                <c:pt idx="376">
                  <c:v>-158.391909761564</c:v>
                </c:pt>
                <c:pt idx="377">
                  <c:v>-158.853809819468</c:v>
                </c:pt>
                <c:pt idx="378">
                  <c:v>-159.309727036194</c:v>
                </c:pt>
                <c:pt idx="379">
                  <c:v>-159.759624379764</c:v>
                </c:pt>
                <c:pt idx="380">
                  <c:v>-160.203473967237</c:v>
                </c:pt>
                <c:pt idx="381">
                  <c:v>-160.64125673639</c:v>
                </c:pt>
                <c:pt idx="382">
                  <c:v>-161.072962107488</c:v>
                </c:pt>
                <c:pt idx="383">
                  <c:v>-161.49858763764</c:v>
                </c:pt>
                <c:pt idx="384">
                  <c:v>-161.918138670098</c:v>
                </c:pt>
                <c:pt idx="385">
                  <c:v>-162.331627980637</c:v>
                </c:pt>
                <c:pt idx="386">
                  <c:v>-162.739075423027</c:v>
                </c:pt>
                <c:pt idx="387">
                  <c:v>-163.140507575413</c:v>
                </c:pt>
                <c:pt idx="388">
                  <c:v>-163.535957389241</c:v>
                </c:pt>
                <c:pt idx="389">
                  <c:v>-163.925463842238</c:v>
                </c:pt>
                <c:pt idx="390">
                  <c:v>-164.309071596745</c:v>
                </c:pt>
                <c:pt idx="391">
                  <c:v>-164.686830664586</c:v>
                </c:pt>
                <c:pt idx="392">
                  <c:v>-165.058796079487</c:v>
                </c:pt>
                <c:pt idx="393">
                  <c:v>-165.425027577917</c:v>
                </c:pt>
                <c:pt idx="394">
                  <c:v>-165.785589289113</c:v>
                </c:pt>
                <c:pt idx="395">
                  <c:v>-166.140549434887</c:v>
                </c:pt>
                <c:pt idx="396">
                  <c:v>-166.489980039748</c:v>
                </c:pt>
                <c:pt idx="397">
                  <c:v>-166.833956651712</c:v>
                </c:pt>
                <c:pt idx="398">
                  <c:v>-167.17255807412</c:v>
                </c:pt>
                <c:pt idx="399">
                  <c:v>-167.505866108669</c:v>
                </c:pt>
                <c:pt idx="400">
                  <c:v>-167.83396530978</c:v>
                </c:pt>
                <c:pt idx="401">
                  <c:v>-168.156942750372</c:v>
                </c:pt>
                <c:pt idx="402">
                  <c:v>-168.474887799028</c:v>
                </c:pt>
                <c:pt idx="403">
                  <c:v>-168.787891908485</c:v>
                </c:pt>
                <c:pt idx="404">
                  <c:v>-169.096048415329</c:v>
                </c:pt>
                <c:pt idx="405">
                  <c:v>-169.399452350743</c:v>
                </c:pt>
                <c:pt idx="406">
                  <c:v>-169.698200262096</c:v>
                </c:pt>
                <c:pt idx="407">
                  <c:v>-169.992390045146</c:v>
                </c:pt>
                <c:pt idx="408">
                  <c:v>-170.282120786592</c:v>
                </c:pt>
                <c:pt idx="409">
                  <c:v>-170.567492616695</c:v>
                </c:pt>
                <c:pt idx="410">
                  <c:v>-170.84860657166</c:v>
                </c:pt>
                <c:pt idx="411">
                  <c:v>-171.125564465467</c:v>
                </c:pt>
                <c:pt idx="412">
                  <c:v>-171.398468770822</c:v>
                </c:pt>
                <c:pt idx="413">
                  <c:v>-171.667422508886</c:v>
                </c:pt>
                <c:pt idx="414">
                  <c:v>-171.932529147447</c:v>
                </c:pt>
                <c:pt idx="415">
                  <c:v>-172.193892507193</c:v>
                </c:pt>
                <c:pt idx="416">
                  <c:v>-172.451616675738</c:v>
                </c:pt>
                <c:pt idx="417">
                  <c:v>-172.705805929056</c:v>
                </c:pt>
                <c:pt idx="418">
                  <c:v>-172.956564659996</c:v>
                </c:pt>
                <c:pt idx="419">
                  <c:v>-173.203997313536</c:v>
                </c:pt>
                <c:pt idx="420">
                  <c:v>-173.448208328449</c:v>
                </c:pt>
                <c:pt idx="421">
                  <c:v>-173.689302085063</c:v>
                </c:pt>
                <c:pt idx="422">
                  <c:v>-173.927382858806</c:v>
                </c:pt>
                <c:pt idx="423">
                  <c:v>-174.162554779225</c:v>
                </c:pt>
                <c:pt idx="424">
                  <c:v>-174.394921794193</c:v>
                </c:pt>
                <c:pt idx="425">
                  <c:v>-174.624587639012</c:v>
                </c:pt>
                <c:pt idx="426">
                  <c:v>-174.851655810147</c:v>
                </c:pt>
                <c:pt idx="427">
                  <c:v>-175.07622954331</c:v>
                </c:pt>
                <c:pt idx="428">
                  <c:v>-175.298411795668</c:v>
                </c:pt>
                <c:pt idx="429">
                  <c:v>-175.518305231893</c:v>
                </c:pt>
                <c:pt idx="430">
                  <c:v>-175.736012213854</c:v>
                </c:pt>
                <c:pt idx="431">
                  <c:v>-175.951634793709</c:v>
                </c:pt>
                <c:pt idx="432">
                  <c:v>-176.165274710186</c:v>
                </c:pt>
                <c:pt idx="433">
                  <c:v>-176.377033387849</c:v>
                </c:pt>
                <c:pt idx="434">
                  <c:v>-176.587011939154</c:v>
                </c:pt>
                <c:pt idx="435">
                  <c:v>-176.795311169109</c:v>
                </c:pt>
                <c:pt idx="436">
                  <c:v>-177.002031582354</c:v>
                </c:pt>
                <c:pt idx="437">
                  <c:v>-177.207273392507</c:v>
                </c:pt>
                <c:pt idx="438">
                  <c:v>-177.411136533589</c:v>
                </c:pt>
                <c:pt idx="439">
                  <c:v>-177.613720673401</c:v>
                </c:pt>
                <c:pt idx="440">
                  <c:v>-177.815125228688</c:v>
                </c:pt>
                <c:pt idx="441">
                  <c:v>-178.015449381957</c:v>
                </c:pt>
                <c:pt idx="442">
                  <c:v>-178.214792099808</c:v>
                </c:pt>
                <c:pt idx="443">
                  <c:v>-178.413252152667</c:v>
                </c:pt>
                <c:pt idx="444">
                  <c:v>-178.610928135776</c:v>
                </c:pt>
                <c:pt idx="445">
                  <c:v>-178.807918491336</c:v>
                </c:pt>
                <c:pt idx="446">
                  <c:v>-179.004321531689</c:v>
                </c:pt>
                <c:pt idx="447">
                  <c:v>-179.200235463431</c:v>
                </c:pt>
                <c:pt idx="448">
                  <c:v>-179.395758412342</c:v>
                </c:pt>
                <c:pt idx="449">
                  <c:v>-179.590988449046</c:v>
                </c:pt>
                <c:pt idx="450">
                  <c:v>-179.78602361529</c:v>
                </c:pt>
                <c:pt idx="451">
                  <c:v>-179.980961950753</c:v>
                </c:pt>
                <c:pt idx="452">
                  <c:v>179.824098479708</c:v>
                </c:pt>
                <c:pt idx="453">
                  <c:v>179.629059558478</c:v>
                </c:pt>
                <c:pt idx="454">
                  <c:v>179.433823087341</c:v>
                </c:pt>
                <c:pt idx="455">
                  <c:v>179.238290759488</c:v>
                </c:pt>
                <c:pt idx="456">
                  <c:v>179.042364131442</c:v>
                </c:pt>
                <c:pt idx="457">
                  <c:v>178.845944595009</c:v>
                </c:pt>
                <c:pt idx="458">
                  <c:v>178.648933349328</c:v>
                </c:pt>
                <c:pt idx="459">
                  <c:v>178.451231373129</c:v>
                </c:pt>
                <c:pt idx="460">
                  <c:v>178.252739397271</c:v>
                </c:pt>
                <c:pt idx="461">
                  <c:v>178.053357877667</c:v>
                </c:pt>
                <c:pt idx="462">
                  <c:v>177.852986968687</c:v>
                </c:pt>
                <c:pt idx="463">
                  <c:v>177.651526497139</c:v>
                </c:pt>
                <c:pt idx="464">
                  <c:v>177.448875936919</c:v>
                </c:pt>
                <c:pt idx="465">
                  <c:v>177.244934384453</c:v>
                </c:pt>
                <c:pt idx="466">
                  <c:v>177.039600535015</c:v>
                </c:pt>
                <c:pt idx="467">
                  <c:v>176.832772660057</c:v>
                </c:pt>
                <c:pt idx="468">
                  <c:v>176.624348585644</c:v>
                </c:pt>
                <c:pt idx="469">
                  <c:v>176.414225672137</c:v>
                </c:pt>
                <c:pt idx="470">
                  <c:v>176.202300795235</c:v>
                </c:pt>
                <c:pt idx="471">
                  <c:v>175.988470328518</c:v>
                </c:pt>
                <c:pt idx="472">
                  <c:v>175.772630127621</c:v>
                </c:pt>
                <c:pt idx="473">
                  <c:v>175.554675516202</c:v>
                </c:pt>
                <c:pt idx="474">
                  <c:v>175.334501273835</c:v>
                </c:pt>
                <c:pt idx="475">
                  <c:v>175.112001626006</c:v>
                </c:pt>
                <c:pt idx="476">
                  <c:v>174.887070236375</c:v>
                </c:pt>
                <c:pt idx="477">
                  <c:v>174.65960020148</c:v>
                </c:pt>
                <c:pt idx="478">
                  <c:v>174.42948404807</c:v>
                </c:pt>
                <c:pt idx="479">
                  <c:v>174.196613733267</c:v>
                </c:pt>
                <c:pt idx="480">
                  <c:v>173.960880647756</c:v>
                </c:pt>
                <c:pt idx="481">
                  <c:v>173.722175622217</c:v>
                </c:pt>
                <c:pt idx="482">
                  <c:v>173.48038893724</c:v>
                </c:pt>
                <c:pt idx="483">
                  <c:v>173.235410336933</c:v>
                </c:pt>
                <c:pt idx="484">
                  <c:v>172.987129046496</c:v>
                </c:pt>
                <c:pt idx="485">
                  <c:v>172.735433793998</c:v>
                </c:pt>
                <c:pt idx="486">
                  <c:v>172.480212836642</c:v>
                </c:pt>
                <c:pt idx="487">
                  <c:v>172.221353991786</c:v>
                </c:pt>
                <c:pt idx="488">
                  <c:v>171.958744673015</c:v>
                </c:pt>
                <c:pt idx="489">
                  <c:v>171.692271931572</c:v>
                </c:pt>
                <c:pt idx="490">
                  <c:v>171.421822503445</c:v>
                </c:pt>
                <c:pt idx="491">
                  <c:v>171.147282862454</c:v>
                </c:pt>
                <c:pt idx="492">
                  <c:v>170.868539279652</c:v>
                </c:pt>
                <c:pt idx="493">
                  <c:v>170.585477889393</c:v>
                </c:pt>
                <c:pt idx="494">
                  <c:v>170.297984762409</c:v>
                </c:pt>
                <c:pt idx="495">
                  <c:v>170.005945986268</c:v>
                </c:pt>
                <c:pt idx="496">
                  <c:v>169.709247753561</c:v>
                </c:pt>
                <c:pt idx="497">
                  <c:v>169.407776458194</c:v>
                </c:pt>
                <c:pt idx="498">
                  <c:v>169.101418800164</c:v>
                </c:pt>
                <c:pt idx="499">
                  <c:v>168.790061899181</c:v>
                </c:pt>
                <c:pt idx="500">
                  <c:v>168.473593417513</c:v>
                </c:pt>
                <c:pt idx="501">
                  <c:v>168.151901692435</c:v>
                </c:pt>
                <c:pt idx="502">
                  <c:v>167.824875878622</c:v>
                </c:pt>
                <c:pt idx="503">
                  <c:v>167.492406100868</c:v>
                </c:pt>
                <c:pt idx="504">
                  <c:v>167.154383617449</c:v>
                </c:pt>
                <c:pt idx="505">
                  <c:v>166.810700994472</c:v>
                </c:pt>
                <c:pt idx="506">
                  <c:v>166.461252291499</c:v>
                </c:pt>
                <c:pt idx="507">
                  <c:v>166.105933258746</c:v>
                </c:pt>
                <c:pt idx="508">
                  <c:v>165.744641546074</c:v>
                </c:pt>
                <c:pt idx="509">
                  <c:v>165.377276924018</c:v>
                </c:pt>
                <c:pt idx="510">
                  <c:v>165.003741516993</c:v>
                </c:pt>
                <c:pt idx="511">
                  <c:v>164.623940048812</c:v>
                </c:pt>
                <c:pt idx="512">
                  <c:v>164.237780100584</c:v>
                </c:pt>
                <c:pt idx="513">
                  <c:v>163.845172380978</c:v>
                </c:pt>
                <c:pt idx="514">
                  <c:v>163.446031008795</c:v>
                </c:pt>
                <c:pt idx="515">
                  <c:v>163.040273807705</c:v>
                </c:pt>
                <c:pt idx="516">
                  <c:v>162.627822612894</c:v>
                </c:pt>
                <c:pt idx="517">
                  <c:v>162.208603589312</c:v>
                </c:pt>
                <c:pt idx="518">
                  <c:v>161.782547561076</c:v>
                </c:pt>
                <c:pt idx="519">
                  <c:v>161.349590351488</c:v>
                </c:pt>
                <c:pt idx="520">
                  <c:v>160.909673132995</c:v>
                </c:pt>
                <c:pt idx="521">
                  <c:v>160.462742786293</c:v>
                </c:pt>
                <c:pt idx="522">
                  <c:v>160.008752267652</c:v>
                </c:pt>
                <c:pt idx="523">
                  <c:v>159.547660983367</c:v>
                </c:pt>
                <c:pt idx="524">
                  <c:v>159.079435170115</c:v>
                </c:pt>
                <c:pt idx="525">
                  <c:v>158.604048279822</c:v>
                </c:pt>
                <c:pt idx="526">
                  <c:v>158.1214813675</c:v>
                </c:pt>
                <c:pt idx="527">
                  <c:v>157.631723480321</c:v>
                </c:pt>
                <c:pt idx="528">
                  <c:v>157.134772046054</c:v>
                </c:pt>
                <c:pt idx="529">
                  <c:v>156.630633258813</c:v>
                </c:pt>
                <c:pt idx="530">
                  <c:v>156.119322459894</c:v>
                </c:pt>
                <c:pt idx="531">
                  <c:v>155.600864511314</c:v>
                </c:pt>
                <c:pt idx="532">
                  <c:v>155.075294159533</c:v>
                </c:pt>
                <c:pt idx="533">
                  <c:v>154.542656386661</c:v>
                </c:pt>
                <c:pt idx="534">
                  <c:v>154.003006746353</c:v>
                </c:pt>
                <c:pt idx="535">
                  <c:v>153.456411681443</c:v>
                </c:pt>
                <c:pt idx="536">
                  <c:v>152.90294882031</c:v>
                </c:pt>
                <c:pt idx="537">
                  <c:v>152.342707248848</c:v>
                </c:pt>
                <c:pt idx="538">
                  <c:v>151.775787754902</c:v>
                </c:pt>
                <c:pt idx="539">
                  <c:v>151.202303041988</c:v>
                </c:pt>
                <c:pt idx="540">
                  <c:v>150.622377909118</c:v>
                </c:pt>
                <c:pt idx="541">
                  <c:v>150.036149393624</c:v>
                </c:pt>
              </c:numCache>
            </c:numRef>
          </c:yVal>
          <c:smooth val="1"/>
        </c:ser>
        <c:dLbls>
          <c:showLegendKey val="0"/>
          <c:showVal val="0"/>
          <c:showCatName val="0"/>
          <c:showSerName val="0"/>
          <c:showPercent val="0"/>
          <c:showBubbleSize val="0"/>
        </c:dLbls>
        <c:axId val="175511040"/>
        <c:axId val="175509504"/>
      </c:scatterChart>
      <c:valAx>
        <c:axId val="178188288"/>
        <c:scaling>
          <c:logBase val="10"/>
          <c:orientation val="minMax"/>
          <c:max val="22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190208"/>
        <c:crosses val="autoZero"/>
        <c:crossBetween val="midCat"/>
      </c:valAx>
      <c:valAx>
        <c:axId val="178190208"/>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Gain</a:t>
                </a:r>
                <a:r>
                  <a:rPr lang="en-US" baseline="0"/>
                  <a:t> (dB)</a:t>
                </a:r>
                <a:endParaRPr lang="en-US"/>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188288"/>
        <c:crosses val="autoZero"/>
        <c:crossBetween val="midCat"/>
        <c:majorUnit val="20"/>
        <c:minorUnit val="10"/>
      </c:valAx>
      <c:valAx>
        <c:axId val="175511040"/>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509504"/>
        <c:crosses val="autoZero"/>
        <c:crossBetween val="midCat"/>
      </c:valAx>
      <c:valAx>
        <c:axId val="175509504"/>
        <c:scaling>
          <c:orientation val="minMax"/>
          <c:max val="180"/>
          <c:min val="-180"/>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511040"/>
        <c:crosses val="max"/>
        <c:crossBetween val="midCat"/>
        <c:majorUnit val="90"/>
        <c:minorUnit val="45"/>
      </c:valAx>
    </c:plotArea>
    <c:legend>
      <c:legendPos val="r"/>
      <c:layout>
        <c:manualLayout>
          <c:xMode val="edge"/>
          <c:yMode val="edge"/>
          <c:x val="0.798805582095125"/>
          <c:y val="0.14321997959862"/>
          <c:w val="0.134594492760573"/>
          <c:h val="0.106916098611994"/>
        </c:manualLayout>
      </c:layout>
      <c:overlay val="1"/>
      <c:spPr>
        <a:solidFill>
          <a:schemeClr val="bg1"/>
        </a:solidFill>
      </c:spPr>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9ab468d-2a4e-4a53-9b29-363742c6de08}"/>
      </c:ext>
    </c:extLst>
  </c:chart>
  <c:txPr>
    <a:bodyPr/>
    <a:lstStyle/>
    <a:p>
      <a:pPr>
        <a:defRPr lang="pl-PL"/>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a:t>Error</a:t>
            </a:r>
            <a:r>
              <a:rPr lang="en-US" baseline="0"/>
              <a:t> Amplifier Transfer</a:t>
            </a:r>
            <a:endParaRPr lang="en-US" baseline="0"/>
          </a:p>
        </c:rich>
      </c:tx>
      <c:layout/>
      <c:overlay val="0"/>
    </c:title>
    <c:autoTitleDeleted val="0"/>
    <c:plotArea>
      <c:layout/>
      <c:scatterChart>
        <c:scatterStyle val="smooth"/>
        <c:varyColors val="0"/>
        <c:ser>
          <c:idx val="0"/>
          <c:order val="0"/>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Loop_Modeling!$BD$19:$BD$560</c:f>
              <c:numCache>
                <c:formatCode>General</c:formatCode>
                <c:ptCount val="542"/>
                <c:pt idx="0">
                  <c:v>16.8702953784052</c:v>
                </c:pt>
                <c:pt idx="1">
                  <c:v>16.6705508882654</c:v>
                </c:pt>
                <c:pt idx="2">
                  <c:v>16.4708184238095</c:v>
                </c:pt>
                <c:pt idx="3">
                  <c:v>16.2710985502367</c:v>
                </c:pt>
                <c:pt idx="4">
                  <c:v>16.0713918592341</c:v>
                </c:pt>
                <c:pt idx="5">
                  <c:v>15.8716989702099</c:v>
                </c:pt>
                <c:pt idx="6">
                  <c:v>15.6720205315847</c:v>
                </c:pt>
                <c:pt idx="7">
                  <c:v>15.4723572221412</c:v>
                </c:pt>
                <c:pt idx="8">
                  <c:v>15.2727097524359</c:v>
                </c:pt>
                <c:pt idx="9">
                  <c:v>15.0730788662765</c:v>
                </c:pt>
                <c:pt idx="10">
                  <c:v>14.8734653422659</c:v>
                </c:pt>
                <c:pt idx="11">
                  <c:v>14.6738699954167</c:v>
                </c:pt>
                <c:pt idx="12">
                  <c:v>14.4742936788408</c:v>
                </c:pt>
                <c:pt idx="13">
                  <c:v>14.274737285514</c:v>
                </c:pt>
                <c:pt idx="14">
                  <c:v>14.0752017501228</c:v>
                </c:pt>
                <c:pt idx="15">
                  <c:v>13.8756880509935</c:v>
                </c:pt>
                <c:pt idx="16">
                  <c:v>13.6761972121104</c:v>
                </c:pt>
                <c:pt idx="17">
                  <c:v>13.4767303052234</c:v>
                </c:pt>
                <c:pt idx="18">
                  <c:v>13.2772884520529</c:v>
                </c:pt>
                <c:pt idx="19">
                  <c:v>13.0778728265921</c:v>
                </c:pt>
                <c:pt idx="20">
                  <c:v>12.8784846575148</c:v>
                </c:pt>
                <c:pt idx="21">
                  <c:v>12.6791252306895</c:v>
                </c:pt>
                <c:pt idx="22">
                  <c:v>12.4797958918073</c:v>
                </c:pt>
                <c:pt idx="23">
                  <c:v>12.2804980491263</c:v>
                </c:pt>
                <c:pt idx="24">
                  <c:v>12.0812331763393</c:v>
                </c:pt>
                <c:pt idx="25">
                  <c:v>11.8820028155672</c:v>
                </c:pt>
                <c:pt idx="26">
                  <c:v>11.6828085804869</c:v>
                </c:pt>
                <c:pt idx="27">
                  <c:v>11.4836521595959</c:v>
                </c:pt>
                <c:pt idx="28">
                  <c:v>11.2845353196209</c:v>
                </c:pt>
                <c:pt idx="29">
                  <c:v>11.0854599090761</c:v>
                </c:pt>
                <c:pt idx="30">
                  <c:v>10.8864278619768</c:v>
                </c:pt>
                <c:pt idx="31">
                  <c:v>10.6874412017147</c:v>
                </c:pt>
                <c:pt idx="32">
                  <c:v>10.4885020451012</c:v>
                </c:pt>
                <c:pt idx="33">
                  <c:v>10.289612606585</c:v>
                </c:pt>
                <c:pt idx="34">
                  <c:v>10.0907752026516</c:v>
                </c:pt>
                <c:pt idx="35">
                  <c:v>9.89199225641014</c:v>
                </c:pt>
                <c:pt idx="36">
                  <c:v>9.69326630237596</c:v>
                </c:pt>
                <c:pt idx="37">
                  <c:v>9.4945999914559</c:v>
                </c:pt>
                <c:pt idx="38">
                  <c:v>9.29599609614283</c:v>
                </c:pt>
                <c:pt idx="39">
                  <c:v>9.09745751592816</c:v>
                </c:pt>
                <c:pt idx="40">
                  <c:v>8.8989872829392</c:v>
                </c:pt>
                <c:pt idx="41">
                  <c:v>8.70058856780977</c:v>
                </c:pt>
                <c:pt idx="42">
                  <c:v>8.50226468579147</c:v>
                </c:pt>
                <c:pt idx="43">
                  <c:v>8.30401910311426</c:v>
                </c:pt>
                <c:pt idx="44">
                  <c:v>8.10585544360361</c:v>
                </c:pt>
                <c:pt idx="45">
                  <c:v>7.90777749556367</c:v>
                </c:pt>
                <c:pt idx="46">
                  <c:v>7.7097892189335</c:v>
                </c:pt>
                <c:pt idx="47">
                  <c:v>7.51189475272487</c:v>
                </c:pt>
                <c:pt idx="48">
                  <c:v>7.31409842275079</c:v>
                </c:pt>
                <c:pt idx="49">
                  <c:v>7.11640474965114</c:v>
                </c:pt>
                <c:pt idx="50">
                  <c:v>6.91881845722534</c:v>
                </c:pt>
                <c:pt idx="51">
                  <c:v>6.72134448107825</c:v>
                </c:pt>
                <c:pt idx="52">
                  <c:v>6.52398797758825</c:v>
                </c:pt>
                <c:pt idx="53">
                  <c:v>6.32675433320444</c:v>
                </c:pt>
                <c:pt idx="54">
                  <c:v>6.12964917407951</c:v>
                </c:pt>
                <c:pt idx="55">
                  <c:v>5.9326783760462</c:v>
                </c:pt>
                <c:pt idx="56">
                  <c:v>5.73584807494256</c:v>
                </c:pt>
                <c:pt idx="57">
                  <c:v>5.53916467729213</c:v>
                </c:pt>
                <c:pt idx="58">
                  <c:v>5.34263487134406</c:v>
                </c:pt>
                <c:pt idx="59">
                  <c:v>5.14626563847758</c:v>
                </c:pt>
                <c:pt idx="60">
                  <c:v>4.95006426497405</c:v>
                </c:pt>
                <c:pt idx="61">
                  <c:v>4.75403835415928</c:v>
                </c:pt>
                <c:pt idx="62">
                  <c:v>4.5581958389176</c:v>
                </c:pt>
                <c:pt idx="63">
                  <c:v>4.36254499457762</c:v>
                </c:pt>
                <c:pt idx="64">
                  <c:v>4.16709445216845</c:v>
                </c:pt>
                <c:pt idx="65">
                  <c:v>3.97185321204401</c:v>
                </c:pt>
                <c:pt idx="66">
                  <c:v>3.7768306578706</c:v>
                </c:pt>
                <c:pt idx="67">
                  <c:v>3.58203657097117</c:v>
                </c:pt>
                <c:pt idx="68">
                  <c:v>3.38748114501831</c:v>
                </c:pt>
                <c:pt idx="69">
                  <c:v>3.19317500106439</c:v>
                </c:pt>
                <c:pt idx="70">
                  <c:v>2.99912920289649</c:v>
                </c:pt>
                <c:pt idx="71">
                  <c:v>2.80535527269863</c:v>
                </c:pt>
                <c:pt idx="72">
                  <c:v>2.6118652070032</c:v>
                </c:pt>
                <c:pt idx="73">
                  <c:v>2.4186714929083</c:v>
                </c:pt>
                <c:pt idx="74">
                  <c:v>2.22578712453514</c:v>
                </c:pt>
                <c:pt idx="75">
                  <c:v>2.03322561969555</c:v>
                </c:pt>
                <c:pt idx="76">
                  <c:v>1.84100103673502</c:v>
                </c:pt>
                <c:pt idx="77">
                  <c:v>1.64912799151249</c:v>
                </c:pt>
                <c:pt idx="78">
                  <c:v>1.45762167447423</c:v>
                </c:pt>
                <c:pt idx="79">
                  <c:v>1.26649786777114</c:v>
                </c:pt>
                <c:pt idx="80">
                  <c:v>1.0757729623674</c:v>
                </c:pt>
                <c:pt idx="81">
                  <c:v>0.885463975078279</c:v>
                </c:pt>
                <c:pt idx="82">
                  <c:v>0.695588565472829</c:v>
                </c:pt>
                <c:pt idx="83">
                  <c:v>0.506165052566072</c:v>
                </c:pt>
                <c:pt idx="84">
                  <c:v>0.317212431223946</c:v>
                </c:pt>
                <c:pt idx="85">
                  <c:v>0.128750388191171</c:v>
                </c:pt>
                <c:pt idx="86">
                  <c:v>-0.0592006823497995</c:v>
                </c:pt>
                <c:pt idx="87">
                  <c:v>-0.246619663792863</c:v>
                </c:pt>
                <c:pt idx="88">
                  <c:v>-0.433484702803847</c:v>
                </c:pt>
                <c:pt idx="89">
                  <c:v>-0.619773195817124</c:v>
                </c:pt>
                <c:pt idx="90">
                  <c:v>-0.805461776458744</c:v>
                </c:pt>
                <c:pt idx="91">
                  <c:v>-0.99052630403208</c:v>
                </c:pt>
                <c:pt idx="92">
                  <c:v>-1.17494185320843</c:v>
                </c:pt>
                <c:pt idx="93">
                  <c:v>-1.35868270507544</c:v>
                </c:pt>
                <c:pt idx="94">
                  <c:v>-1.54172233970254</c:v>
                </c:pt>
                <c:pt idx="95">
                  <c:v>-1.72403343039218</c:v>
                </c:pt>
                <c:pt idx="96">
                  <c:v>-1.90558783979217</c:v>
                </c:pt>
                <c:pt idx="97">
                  <c:v>-2.08635661805236</c:v>
                </c:pt>
                <c:pt idx="98">
                  <c:v>-2.26631000321487</c:v>
                </c:pt>
                <c:pt idx="99">
                  <c:v>-2.44541742403318</c:v>
                </c:pt>
                <c:pt idx="100">
                  <c:v>-2.62364750542075</c:v>
                </c:pt>
                <c:pt idx="101">
                  <c:v>-2.8009680767316</c:v>
                </c:pt>
                <c:pt idx="102">
                  <c:v>-2.97734618308014</c:v>
                </c:pt>
                <c:pt idx="103">
                  <c:v>-3.15274809990698</c:v>
                </c:pt>
                <c:pt idx="104">
                  <c:v>-3.32713935099651</c:v>
                </c:pt>
                <c:pt idx="105">
                  <c:v>-3.50048473015042</c:v>
                </c:pt>
                <c:pt idx="106">
                  <c:v>-3.67274832671437</c:v>
                </c:pt>
                <c:pt idx="107">
                  <c:v>-3.84389355515033</c:v>
                </c:pt>
                <c:pt idx="108">
                  <c:v>-4.01388318883575</c:v>
                </c:pt>
                <c:pt idx="109">
                  <c:v>-4.18267939825711</c:v>
                </c:pt>
                <c:pt idx="110">
                  <c:v>-4.35024379375274</c:v>
                </c:pt>
                <c:pt idx="111">
                  <c:v>-4.51653747293913</c:v>
                </c:pt>
                <c:pt idx="112">
                  <c:v>-4.68152107293187</c:v>
                </c:pt>
                <c:pt idx="113">
                  <c:v>-4.84515482745151</c:v>
                </c:pt>
                <c:pt idx="114">
                  <c:v>-5.0073986288702</c:v>
                </c:pt>
                <c:pt idx="115">
                  <c:v>-5.16821209522856</c:v>
                </c:pt>
                <c:pt idx="116">
                  <c:v>-5.32755464221129</c:v>
                </c:pt>
                <c:pt idx="117">
                  <c:v>-5.48538556003675</c:v>
                </c:pt>
                <c:pt idx="118">
                  <c:v>-5.64166409516889</c:v>
                </c:pt>
                <c:pt idx="119">
                  <c:v>-5.79634953671862</c:v>
                </c:pt>
                <c:pt idx="120">
                  <c:v>-5.94940130735187</c:v>
                </c:pt>
                <c:pt idx="121">
                  <c:v>-6.10077905847483</c:v>
                </c:pt>
                <c:pt idx="122">
                  <c:v>-6.2504427694117</c:v>
                </c:pt>
                <c:pt idx="123">
                  <c:v>-6.39835285024158</c:v>
                </c:pt>
                <c:pt idx="124">
                  <c:v>-6.54447024790564</c:v>
                </c:pt>
                <c:pt idx="125">
                  <c:v>-6.68875655514418</c:v>
                </c:pt>
                <c:pt idx="126">
                  <c:v>-6.83117412177003</c:v>
                </c:pt>
                <c:pt idx="127">
                  <c:v>-6.97168616773569</c:v>
                </c:pt>
                <c:pt idx="128">
                  <c:v>-7.11025689740398</c:v>
                </c:pt>
                <c:pt idx="129">
                  <c:v>-7.24685161438662</c:v>
                </c:pt>
                <c:pt idx="130">
                  <c:v>-7.3814368362775</c:v>
                </c:pt>
                <c:pt idx="131">
                  <c:v>-7.51398040857106</c:v>
                </c:pt>
                <c:pt idx="132">
                  <c:v>-7.64445161703063</c:v>
                </c:pt>
                <c:pt idx="133">
                  <c:v>-7.77282129774743</c:v>
                </c:pt>
                <c:pt idx="134">
                  <c:v>-7.8990619441204</c:v>
                </c:pt>
                <c:pt idx="135">
                  <c:v>-8.02314780998051</c:v>
                </c:pt>
                <c:pt idx="136">
                  <c:v>-8.14505500808818</c:v>
                </c:pt>
                <c:pt idx="137">
                  <c:v>-8.26476160324414</c:v>
                </c:pt>
                <c:pt idx="138">
                  <c:v>-8.38224769927967</c:v>
                </c:pt>
                <c:pt idx="139">
                  <c:v>-8.49749551922171</c:v>
                </c:pt>
                <c:pt idx="140">
                  <c:v>-8.61048947797264</c:v>
                </c:pt>
                <c:pt idx="141">
                  <c:v>-8.72121624689343</c:v>
                </c:pt>
                <c:pt idx="142">
                  <c:v>-8.82966480974157</c:v>
                </c:pt>
                <c:pt idx="143">
                  <c:v>-8.93582650947924</c:v>
                </c:pt>
                <c:pt idx="144">
                  <c:v>-9.03969508554601</c:v>
                </c:pt>
                <c:pt idx="145">
                  <c:v>-9.1412667012675</c:v>
                </c:pt>
                <c:pt idx="146">
                  <c:v>-9.24053996116096</c:v>
                </c:pt>
                <c:pt idx="147">
                  <c:v>-9.33751591798548</c:v>
                </c:pt>
                <c:pt idx="148">
                  <c:v>-9.43219806947803</c:v>
                </c:pt>
                <c:pt idx="149">
                  <c:v>-9.52459234480968</c:v>
                </c:pt>
                <c:pt idx="150">
                  <c:v>-9.61470708088667</c:v>
                </c:pt>
                <c:pt idx="151">
                  <c:v>-9.70255298871461</c:v>
                </c:pt>
                <c:pt idx="152">
                  <c:v>-9.78814311012825</c:v>
                </c:pt>
                <c:pt idx="153">
                  <c:v>-9.87149276527375</c:v>
                </c:pt>
                <c:pt idx="154">
                  <c:v>-9.95261949130615</c:v>
                </c:pt>
                <c:pt idx="155">
                  <c:v>-10.0315429728357</c:v>
                </c:pt>
                <c:pt idx="156">
                  <c:v>-10.1082849647173</c:v>
                </c:pt>
                <c:pt idx="157">
                  <c:v>-10.1828692078335</c:v>
                </c:pt>
                <c:pt idx="158">
                  <c:v>-10.2553213385626</c:v>
                </c:pt>
                <c:pt idx="159">
                  <c:v>-10.3256687926632</c:v>
                </c:pt>
                <c:pt idx="160">
                  <c:v>-10.3939407043282</c:v>
                </c:pt>
                <c:pt idx="161">
                  <c:v>-10.4601678011793</c:v>
                </c:pt>
                <c:pt idx="162">
                  <c:v>-10.5243822959807</c:v>
                </c:pt>
                <c:pt idx="163">
                  <c:v>-10.5866177758454</c:v>
                </c:pt>
                <c:pt idx="164">
                  <c:v>-10.6469090896998</c:v>
                </c:pt>
                <c:pt idx="165">
                  <c:v>-10.7052922347527</c:v>
                </c:pt>
                <c:pt idx="166">
                  <c:v>-10.7618042426856</c:v>
                </c:pt>
                <c:pt idx="167">
                  <c:v>-10.8164830662547</c:v>
                </c:pt>
                <c:pt idx="168">
                  <c:v>-10.8693674669505</c:v>
                </c:pt>
                <c:pt idx="169">
                  <c:v>-10.9204969043238</c:v>
                </c:pt>
                <c:pt idx="170">
                  <c:v>-10.9699114275348</c:v>
                </c:pt>
                <c:pt idx="171">
                  <c:v>-11.0176515696383</c:v>
                </c:pt>
                <c:pt idx="172">
                  <c:v>-11.0637582450619</c:v>
                </c:pt>
                <c:pt idx="173">
                  <c:v>-11.1082726506836</c:v>
                </c:pt>
                <c:pt idx="174">
                  <c:v>-11.1512361708631</c:v>
                </c:pt>
                <c:pt idx="175">
                  <c:v>-11.1926902867252</c:v>
                </c:pt>
                <c:pt idx="176">
                  <c:v>-11.2326764899463</c:v>
                </c:pt>
                <c:pt idx="177">
                  <c:v>-11.2712362012424</c:v>
                </c:pt>
                <c:pt idx="178">
                  <c:v>-11.3084106937077</c:v>
                </c:pt>
                <c:pt idx="179">
                  <c:v>-11.3442410211121</c:v>
                </c:pt>
                <c:pt idx="180">
                  <c:v>-11.3787679512186</c:v>
                </c:pt>
                <c:pt idx="181">
                  <c:v>-11.4120319041431</c:v>
                </c:pt>
                <c:pt idx="182">
                  <c:v>-11.4440728957456</c:v>
                </c:pt>
                <c:pt idx="183">
                  <c:v>-11.4749304860049</c:v>
                </c:pt>
                <c:pt idx="184">
                  <c:v>-11.5046437323016</c:v>
                </c:pt>
                <c:pt idx="185">
                  <c:v>-11.5332511475084</c:v>
                </c:pt>
                <c:pt idx="186">
                  <c:v>-11.5607906627613</c:v>
                </c:pt>
                <c:pt idx="187">
                  <c:v>-11.5872995947711</c:v>
                </c:pt>
                <c:pt idx="188">
                  <c:v>-11.6128146175109</c:v>
                </c:pt>
                <c:pt idx="189">
                  <c:v>-11.6373717381099</c:v>
                </c:pt>
                <c:pt idx="190">
                  <c:v>-11.6610062767671</c:v>
                </c:pt>
                <c:pt idx="191">
                  <c:v>-11.6837528504946</c:v>
                </c:pt>
                <c:pt idx="192">
                  <c:v>-11.7056453604918</c:v>
                </c:pt>
                <c:pt idx="193">
                  <c:v>-11.7267169829526</c:v>
                </c:pt>
                <c:pt idx="194">
                  <c:v>-11.7470001631008</c:v>
                </c:pt>
                <c:pt idx="195">
                  <c:v>-11.7665266122561</c:v>
                </c:pt>
                <c:pt idx="196">
                  <c:v>-11.7853273077291</c:v>
                </c:pt>
                <c:pt idx="197">
                  <c:v>-11.8034324953509</c:v>
                </c:pt>
                <c:pt idx="198">
                  <c:v>-11.820871694448</c:v>
                </c:pt>
                <c:pt idx="199">
                  <c:v>-11.8376737050743</c:v>
                </c:pt>
                <c:pt idx="200">
                  <c:v>-11.8538666173263</c:v>
                </c:pt>
                <c:pt idx="201">
                  <c:v>-11.8694778225652</c:v>
                </c:pt>
                <c:pt idx="202">
                  <c:v>-11.884534026386</c:v>
                </c:pt>
                <c:pt idx="203">
                  <c:v>-11.8990612631772</c:v>
                </c:pt>
                <c:pt idx="204">
                  <c:v>-11.9130849121227</c:v>
                </c:pt>
                <c:pt idx="205">
                  <c:v>-11.9266297145092</c:v>
                </c:pt>
                <c:pt idx="206">
                  <c:v>-11.9397197922076</c:v>
                </c:pt>
                <c:pt idx="207">
                  <c:v>-11.9523786672081</c:v>
                </c:pt>
                <c:pt idx="208">
                  <c:v>-11.9646292820951</c:v>
                </c:pt>
                <c:pt idx="209">
                  <c:v>-11.9764940213586</c:v>
                </c:pt>
                <c:pt idx="210">
                  <c:v>-11.9879947334444</c:v>
                </c:pt>
                <c:pt idx="211">
                  <c:v>-11.9991527534553</c:v>
                </c:pt>
                <c:pt idx="212">
                  <c:v>-12.009988926423</c:v>
                </c:pt>
                <c:pt idx="213">
                  <c:v>-12.0205236310756</c:v>
                </c:pt>
                <c:pt idx="214">
                  <c:v>-12.0307768040357</c:v>
                </c:pt>
                <c:pt idx="215">
                  <c:v>-12.0407679643886</c:v>
                </c:pt>
                <c:pt idx="216">
                  <c:v>-12.0505162385669</c:v>
                </c:pt>
                <c:pt idx="217">
                  <c:v>-12.0600403855027</c:v>
                </c:pt>
                <c:pt idx="218">
                  <c:v>-12.0693588220079</c:v>
                </c:pt>
                <c:pt idx="219">
                  <c:v>-12.0784896483424</c:v>
                </c:pt>
                <c:pt idx="220">
                  <c:v>-12.087450673939</c:v>
                </c:pt>
                <c:pt idx="221">
                  <c:v>-12.096259443258</c:v>
                </c:pt>
                <c:pt idx="222">
                  <c:v>-12.1049332617449</c:v>
                </c:pt>
                <c:pt idx="223">
                  <c:v>-12.1134892218733</c:v>
                </c:pt>
                <c:pt idx="224">
                  <c:v>-12.1219442292537</c:v>
                </c:pt>
                <c:pt idx="225">
                  <c:v>-12.1303150287951</c:v>
                </c:pt>
                <c:pt idx="226">
                  <c:v>-12.1386182309061</c:v>
                </c:pt>
                <c:pt idx="227">
                  <c:v>-12.1468703377269</c:v>
                </c:pt>
                <c:pt idx="228">
                  <c:v>-12.1550877693834</c:v>
                </c:pt>
                <c:pt idx="229">
                  <c:v>-12.1632868902567</c:v>
                </c:pt>
                <c:pt idx="230">
                  <c:v>-12.1714840352626</c:v>
                </c:pt>
                <c:pt idx="231">
                  <c:v>-12.1796955361362</c:v>
                </c:pt>
                <c:pt idx="232">
                  <c:v>-12.187937747717</c:v>
                </c:pt>
                <c:pt idx="233">
                  <c:v>-12.1962270742303</c:v>
                </c:pt>
                <c:pt idx="234">
                  <c:v>-12.2045799955593</c:v>
                </c:pt>
                <c:pt idx="235">
                  <c:v>-12.2130130935035</c:v>
                </c:pt>
                <c:pt idx="236">
                  <c:v>-12.2215430780171</c:v>
                </c:pt>
                <c:pt idx="237">
                  <c:v>-12.2301868134178</c:v>
                </c:pt>
                <c:pt idx="238">
                  <c:v>-12.2389613445597</c:v>
                </c:pt>
                <c:pt idx="239">
                  <c:v>-12.2478839229555</c:v>
                </c:pt>
                <c:pt idx="240">
                  <c:v>-12.2569720328373</c:v>
                </c:pt>
                <c:pt idx="241">
                  <c:v>-12.2662434171361</c:v>
                </c:pt>
                <c:pt idx="242">
                  <c:v>-12.2757161033639</c:v>
                </c:pt>
                <c:pt idx="243">
                  <c:v>-12.2854084293722</c:v>
                </c:pt>
                <c:pt idx="244">
                  <c:v>-12.2953390689614</c:v>
                </c:pt>
                <c:pt idx="245">
                  <c:v>-12.3055270573088</c:v>
                </c:pt>
                <c:pt idx="246">
                  <c:v>-12.3159918161804</c:v>
                </c:pt>
                <c:pt idx="247">
                  <c:v>-12.3267531788846</c:v>
                </c:pt>
                <c:pt idx="248">
                  <c:v>-12.337831414921</c:v>
                </c:pt>
                <c:pt idx="249">
                  <c:v>-12.3492472542739</c:v>
                </c:pt>
                <c:pt idx="250">
                  <c:v>-12.3610219112895</c:v>
                </c:pt>
                <c:pt idx="251">
                  <c:v>-12.3731771080745</c:v>
                </c:pt>
                <c:pt idx="252">
                  <c:v>-12.3857350973421</c:v>
                </c:pt>
                <c:pt idx="253">
                  <c:v>-12.3987186846282</c:v>
                </c:pt>
                <c:pt idx="254">
                  <c:v>-12.4121512497898</c:v>
                </c:pt>
                <c:pt idx="255">
                  <c:v>-12.4260567676912</c:v>
                </c:pt>
                <c:pt idx="256">
                  <c:v>-12.4404598279774</c:v>
                </c:pt>
                <c:pt idx="257">
                  <c:v>-12.4553856538206</c:v>
                </c:pt>
                <c:pt idx="258">
                  <c:v>-12.470860119524</c:v>
                </c:pt>
                <c:pt idx="259">
                  <c:v>-12.4869097668513</c:v>
                </c:pt>
                <c:pt idx="260">
                  <c:v>-12.5035618199492</c:v>
                </c:pt>
                <c:pt idx="261">
                  <c:v>-12.5208441987148</c:v>
                </c:pt>
                <c:pt idx="262">
                  <c:v>-12.5387855304558</c:v>
                </c:pt>
                <c:pt idx="263">
                  <c:v>-12.5574151596822</c:v>
                </c:pt>
                <c:pt idx="264">
                  <c:v>-12.576763155859</c:v>
                </c:pt>
                <c:pt idx="265">
                  <c:v>-12.5968603189433</c:v>
                </c:pt>
                <c:pt idx="266">
                  <c:v>-12.6177381825237</c:v>
                </c:pt>
                <c:pt idx="267">
                  <c:v>-12.6394290143704</c:v>
                </c:pt>
                <c:pt idx="268">
                  <c:v>-12.661965814204</c:v>
                </c:pt>
                <c:pt idx="269">
                  <c:v>-12.6853823084826</c:v>
                </c:pt>
                <c:pt idx="270">
                  <c:v>-12.709712942009</c:v>
                </c:pt>
                <c:pt idx="271">
                  <c:v>-12.7349928661537</c:v>
                </c:pt>
                <c:pt idx="272">
                  <c:v>-12.7612579234957</c:v>
                </c:pt>
                <c:pt idx="273">
                  <c:v>-12.7885446286807</c:v>
                </c:pt>
                <c:pt idx="274">
                  <c:v>-12.8168901453046</c:v>
                </c:pt>
                <c:pt idx="275">
                  <c:v>-12.8463322586357</c:v>
                </c:pt>
                <c:pt idx="276">
                  <c:v>-12.8769093440005</c:v>
                </c:pt>
                <c:pt idx="277">
                  <c:v>-12.9086603306671</c:v>
                </c:pt>
                <c:pt idx="278">
                  <c:v>-12.9416246610813</c:v>
                </c:pt>
                <c:pt idx="279">
                  <c:v>-12.9758422453224</c:v>
                </c:pt>
                <c:pt idx="280">
                  <c:v>-13.0113534106745</c:v>
                </c:pt>
                <c:pt idx="281">
                  <c:v>-13.0481988462286</c:v>
                </c:pt>
                <c:pt idx="282">
                  <c:v>-13.0864195424628</c:v>
                </c:pt>
                <c:pt idx="283">
                  <c:v>-13.1260567257797</c:v>
                </c:pt>
                <c:pt idx="284">
                  <c:v>-13.1671517880136</c:v>
                </c:pt>
                <c:pt idx="285">
                  <c:v>-13.2097462109621</c:v>
                </c:pt>
                <c:pt idx="286">
                  <c:v>-13.2538814860358</c:v>
                </c:pt>
                <c:pt idx="287">
                  <c:v>-13.2995990291656</c:v>
                </c:pt>
                <c:pt idx="288">
                  <c:v>-13.3469400911558</c:v>
                </c:pt>
                <c:pt idx="289">
                  <c:v>-13.3959456637183</c:v>
                </c:pt>
                <c:pt idx="290">
                  <c:v>-13.4466563814772</c:v>
                </c:pt>
                <c:pt idx="291">
                  <c:v>-13.4991124202818</c:v>
                </c:pt>
                <c:pt idx="292">
                  <c:v>-13.5533533922259</c:v>
                </c:pt>
                <c:pt idx="293">
                  <c:v>-13.6094182378131</c:v>
                </c:pt>
                <c:pt idx="294">
                  <c:v>-13.6673451157716</c:v>
                </c:pt>
                <c:pt idx="295">
                  <c:v>-13.7271712910635</c:v>
                </c:pt>
                <c:pt idx="296">
                  <c:v>-13.7889330216843</c:v>
                </c:pt>
                <c:pt idx="297">
                  <c:v>-13.8526654448917</c:v>
                </c:pt>
                <c:pt idx="298">
                  <c:v>-13.918402463542</c:v>
                </c:pt>
                <c:pt idx="299">
                  <c:v>-13.9861766332459</c:v>
                </c:pt>
                <c:pt idx="300">
                  <c:v>-14.0560190510847</c:v>
                </c:pt>
                <c:pt idx="301">
                  <c:v>-14.1279592466454</c:v>
                </c:pt>
                <c:pt idx="302">
                  <c:v>-14.2020250761506</c:v>
                </c:pt>
                <c:pt idx="303">
                  <c:v>-14.2782426204581</c:v>
                </c:pt>
                <c:pt idx="304">
                  <c:v>-14.3566360877073</c:v>
                </c:pt>
                <c:pt idx="305">
                  <c:v>-14.4372277213675</c:v>
                </c:pt>
                <c:pt idx="306">
                  <c:v>-14.5200377144277</c:v>
                </c:pt>
                <c:pt idx="307">
                  <c:v>-14.6050841304289</c:v>
                </c:pt>
                <c:pt idx="308">
                  <c:v>-14.6923828320006</c:v>
                </c:pt>
                <c:pt idx="309">
                  <c:v>-14.7819474175104</c:v>
                </c:pt>
                <c:pt idx="310">
                  <c:v>-14.8737891663744</c:v>
                </c:pt>
                <c:pt idx="311">
                  <c:v>-14.9679169935111</c:v>
                </c:pt>
                <c:pt idx="312">
                  <c:v>-15.0643374133425</c:v>
                </c:pt>
                <c:pt idx="313">
                  <c:v>-15.1630545136673</c:v>
                </c:pt>
                <c:pt idx="314">
                  <c:v>-15.2640699396444</c:v>
                </c:pt>
                <c:pt idx="315">
                  <c:v>-15.3673828880345</c:v>
                </c:pt>
                <c:pt idx="316">
                  <c:v>-15.4729901117559</c:v>
                </c:pt>
                <c:pt idx="317">
                  <c:v>-15.5808859347189</c:v>
                </c:pt>
                <c:pt idx="318">
                  <c:v>-15.6910622768081</c:v>
                </c:pt>
                <c:pt idx="319">
                  <c:v>-15.8035086887942</c:v>
                </c:pt>
                <c:pt idx="320">
                  <c:v>-15.9182123968696</c:v>
                </c:pt>
                <c:pt idx="321">
                  <c:v>-16.035158356418</c:v>
                </c:pt>
                <c:pt idx="322">
                  <c:v>-16.1543293145532</c:v>
                </c:pt>
                <c:pt idx="323">
                  <c:v>-16.2757058808935</c:v>
                </c:pt>
                <c:pt idx="324">
                  <c:v>-16.3992666059742</c:v>
                </c:pt>
                <c:pt idx="325">
                  <c:v>-16.5249880666488</c:v>
                </c:pt>
                <c:pt idx="326">
                  <c:v>-16.6528449577855</c:v>
                </c:pt>
                <c:pt idx="327">
                  <c:v>-16.7828101895293</c:v>
                </c:pt>
                <c:pt idx="328">
                  <c:v>-16.9148549893775</c:v>
                </c:pt>
                <c:pt idx="329">
                  <c:v>-17.0489490082974</c:v>
                </c:pt>
                <c:pt idx="330">
                  <c:v>-17.1850604301114</c:v>
                </c:pt>
                <c:pt idx="331">
                  <c:v>-17.3231560833757</c:v>
                </c:pt>
                <c:pt idx="332">
                  <c:v>-17.4632015549936</c:v>
                </c:pt>
                <c:pt idx="333">
                  <c:v>-17.6051613048162</c:v>
                </c:pt>
                <c:pt idx="334">
                  <c:v>-17.7489987805197</c:v>
                </c:pt>
                <c:pt idx="335">
                  <c:v>-17.8946765320729</c:v>
                </c:pt>
                <c:pt idx="336">
                  <c:v>-18.0421563251513</c:v>
                </c:pt>
                <c:pt idx="337">
                  <c:v>-18.191399252897</c:v>
                </c:pt>
                <c:pt idx="338">
                  <c:v>-18.3423658454674</c:v>
                </c:pt>
                <c:pt idx="339">
                  <c:v>-18.4950161768704</c:v>
                </c:pt>
                <c:pt idx="340">
                  <c:v>-18.6493099686301</c:v>
                </c:pt>
                <c:pt idx="341">
                  <c:v>-18.8052066898826</c:v>
                </c:pt>
                <c:pt idx="342">
                  <c:v>-18.9626656535557</c:v>
                </c:pt>
                <c:pt idx="343">
                  <c:v>-19.121646108335</c:v>
                </c:pt>
                <c:pt idx="344">
                  <c:v>-19.2821073261745</c:v>
                </c:pt>
                <c:pt idx="345">
                  <c:v>-19.4440086851575</c:v>
                </c:pt>
                <c:pt idx="346">
                  <c:v>-19.6073097475633</c:v>
                </c:pt>
                <c:pt idx="347">
                  <c:v>-19.7719703330375</c:v>
                </c:pt>
                <c:pt idx="348">
                  <c:v>-19.9379505868113</c:v>
                </c:pt>
                <c:pt idx="349">
                  <c:v>-20.1052110429504</c:v>
                </c:pt>
                <c:pt idx="350">
                  <c:v>-20.2737126826512</c:v>
                </c:pt>
                <c:pt idx="351">
                  <c:v>-20.4434169876382</c:v>
                </c:pt>
                <c:pt idx="352">
                  <c:v>-20.6142859887403</c:v>
                </c:pt>
                <c:pt idx="353">
                  <c:v>-20.7862823097558</c:v>
                </c:pt>
                <c:pt idx="354">
                  <c:v>-20.9593692067338</c:v>
                </c:pt>
                <c:pt idx="355">
                  <c:v>-21.1335106028214</c:v>
                </c:pt>
                <c:pt idx="356">
                  <c:v>-21.3086711188433</c:v>
                </c:pt>
                <c:pt idx="357">
                  <c:v>-21.4848160997896</c:v>
                </c:pt>
                <c:pt idx="358">
                  <c:v>-21.6619116374049</c:v>
                </c:pt>
                <c:pt idx="359">
                  <c:v>-21.8399245890714</c:v>
                </c:pt>
                <c:pt idx="360">
                  <c:v>-22.0188225931911</c:v>
                </c:pt>
                <c:pt idx="361">
                  <c:v>-22.1985740812728</c:v>
                </c:pt>
                <c:pt idx="362">
                  <c:v>-22.3791482869288</c:v>
                </c:pt>
                <c:pt idx="363">
                  <c:v>-22.5605152519907</c:v>
                </c:pt>
                <c:pt idx="364">
                  <c:v>-22.7426458299451</c:v>
                </c:pt>
                <c:pt idx="365">
                  <c:v>-22.9255116868951</c:v>
                </c:pt>
                <c:pt idx="366">
                  <c:v>-23.1090853002385</c:v>
                </c:pt>
                <c:pt idx="367">
                  <c:v>-23.2933399552588</c:v>
                </c:pt>
                <c:pt idx="368">
                  <c:v>-23.4782497398102</c:v>
                </c:pt>
                <c:pt idx="369">
                  <c:v>-23.663789537275</c:v>
                </c:pt>
                <c:pt idx="370">
                  <c:v>-23.8499350179646</c:v>
                </c:pt>
                <c:pt idx="371">
                  <c:v>-24.0366626291239</c:v>
                </c:pt>
                <c:pt idx="372">
                  <c:v>-24.2239495836958</c:v>
                </c:pt>
                <c:pt idx="373">
                  <c:v>-24.4117738479882</c:v>
                </c:pt>
                <c:pt idx="374">
                  <c:v>-24.6001141283832</c:v>
                </c:pt>
                <c:pt idx="375">
                  <c:v>-24.7889498572151</c:v>
                </c:pt>
                <c:pt idx="376">
                  <c:v>-24.9782611779394</c:v>
                </c:pt>
                <c:pt idx="377">
                  <c:v>-25.1680289297027</c:v>
                </c:pt>
                <c:pt idx="378">
                  <c:v>-25.3582346314191</c:v>
                </c:pt>
                <c:pt idx="379">
                  <c:v>-25.5488604654486</c:v>
                </c:pt>
                <c:pt idx="380">
                  <c:v>-25.7398892609668</c:v>
                </c:pt>
                <c:pt idx="381">
                  <c:v>-25.9313044771061</c:v>
                </c:pt>
                <c:pt idx="382">
                  <c:v>-26.1230901859444</c:v>
                </c:pt>
                <c:pt idx="383">
                  <c:v>-26.3152310554076</c:v>
                </c:pt>
                <c:pt idx="384">
                  <c:v>-26.5077123321496</c:v>
                </c:pt>
                <c:pt idx="385">
                  <c:v>-26.7005198244628</c:v>
                </c:pt>
                <c:pt idx="386">
                  <c:v>-26.8936398852715</c:v>
                </c:pt>
                <c:pt idx="387">
                  <c:v>-27.0870593952524</c:v>
                </c:pt>
                <c:pt idx="388">
                  <c:v>-27.2807657461208</c:v>
                </c:pt>
                <c:pt idx="389">
                  <c:v>-27.4747468241194</c:v>
                </c:pt>
                <c:pt idx="390">
                  <c:v>-27.6689909937409</c:v>
                </c:pt>
                <c:pt idx="391">
                  <c:v>-27.8634870817097</c:v>
                </c:pt>
                <c:pt idx="392">
                  <c:v>-28.0582243612472</c:v>
                </c:pt>
                <c:pt idx="393">
                  <c:v>-28.2531925366421</c:v>
                </c:pt>
                <c:pt idx="394">
                  <c:v>-28.4483817281393</c:v>
                </c:pt>
                <c:pt idx="395">
                  <c:v>-28.6437824571647</c:v>
                </c:pt>
                <c:pt idx="396">
                  <c:v>-28.8393856318958</c:v>
                </c:pt>
                <c:pt idx="397">
                  <c:v>-29.0351825331865</c:v>
                </c:pt>
                <c:pt idx="398">
                  <c:v>-29.2311648008552</c:v>
                </c:pt>
                <c:pt idx="399">
                  <c:v>-29.4273244203386</c:v>
                </c:pt>
                <c:pt idx="400">
                  <c:v>-29.6236537097164</c:v>
                </c:pt>
                <c:pt idx="401">
                  <c:v>-29.8201453071072</c:v>
                </c:pt>
                <c:pt idx="402">
                  <c:v>-30.0167921584364</c:v>
                </c:pt>
                <c:pt idx="403">
                  <c:v>-30.213587505574</c:v>
                </c:pt>
                <c:pt idx="404">
                  <c:v>-30.4105248748426</c:v>
                </c:pt>
                <c:pt idx="405">
                  <c:v>-30.6075980658888</c:v>
                </c:pt>
                <c:pt idx="406">
                  <c:v>-30.8048011409166</c:v>
                </c:pt>
                <c:pt idx="407">
                  <c:v>-31.0021284142762</c:v>
                </c:pt>
                <c:pt idx="408">
                  <c:v>-31.1995744424045</c:v>
                </c:pt>
                <c:pt idx="409">
                  <c:v>-31.3971340141091</c:v>
                </c:pt>
                <c:pt idx="410">
                  <c:v>-31.5948021411906</c:v>
                </c:pt>
                <c:pt idx="411">
                  <c:v>-31.7925740493957</c:v>
                </c:pt>
                <c:pt idx="412">
                  <c:v>-31.9904451696939</c:v>
                </c:pt>
                <c:pt idx="413">
                  <c:v>-32.1884111298701</c:v>
                </c:pt>
                <c:pt idx="414">
                  <c:v>-32.3864677464245</c:v>
                </c:pt>
                <c:pt idx="415">
                  <c:v>-32.5846110167738</c:v>
                </c:pt>
                <c:pt idx="416">
                  <c:v>-32.7828371117435</c:v>
                </c:pt>
                <c:pt idx="417">
                  <c:v>-32.9811423683443</c:v>
                </c:pt>
                <c:pt idx="418">
                  <c:v>-33.1795232828233</c:v>
                </c:pt>
                <c:pt idx="419">
                  <c:v>-33.3779765039838</c:v>
                </c:pt>
                <c:pt idx="420">
                  <c:v>-33.5764988267628</c:v>
                </c:pt>
                <c:pt idx="421">
                  <c:v>-33.7750871860605</c:v>
                </c:pt>
                <c:pt idx="422">
                  <c:v>-33.9737386508123</c:v>
                </c:pt>
                <c:pt idx="423">
                  <c:v>-34.1724504182949</c:v>
                </c:pt>
                <c:pt idx="424">
                  <c:v>-34.3712198086614</c:v>
                </c:pt>
                <c:pt idx="425">
                  <c:v>-34.5700442596934</c:v>
                </c:pt>
                <c:pt idx="426">
                  <c:v>-34.7689213217667</c:v>
                </c:pt>
                <c:pt idx="427">
                  <c:v>-34.9678486530198</c:v>
                </c:pt>
                <c:pt idx="428">
                  <c:v>-35.1668240147205</c:v>
                </c:pt>
                <c:pt idx="429">
                  <c:v>-35.3658452668221</c:v>
                </c:pt>
                <c:pt idx="430">
                  <c:v>-35.5649103637017</c:v>
                </c:pt>
                <c:pt idx="431">
                  <c:v>-35.7640173500757</c:v>
                </c:pt>
                <c:pt idx="432">
                  <c:v>-35.9631643570844</c:v>
                </c:pt>
                <c:pt idx="433">
                  <c:v>-36.1623495985397</c:v>
                </c:pt>
                <c:pt idx="434">
                  <c:v>-36.3615713673304</c:v>
                </c:pt>
                <c:pt idx="435">
                  <c:v>-36.5608280319771</c:v>
                </c:pt>
                <c:pt idx="436">
                  <c:v>-36.7601180333335</c:v>
                </c:pt>
                <c:pt idx="437">
                  <c:v>-36.959439881426</c:v>
                </c:pt>
                <c:pt idx="438">
                  <c:v>-37.1587921524286</c:v>
                </c:pt>
                <c:pt idx="439">
                  <c:v>-37.3581734857644</c:v>
                </c:pt>
                <c:pt idx="440">
                  <c:v>-37.5575825813329</c:v>
                </c:pt>
                <c:pt idx="441">
                  <c:v>-37.7570181968533</c:v>
                </c:pt>
                <c:pt idx="442">
                  <c:v>-37.9564791453239</c:v>
                </c:pt>
                <c:pt idx="443">
                  <c:v>-38.1559642925891</c:v>
                </c:pt>
                <c:pt idx="444">
                  <c:v>-38.3554725550112</c:v>
                </c:pt>
                <c:pt idx="445">
                  <c:v>-38.5550028972434</c:v>
                </c:pt>
                <c:pt idx="446">
                  <c:v>-38.754554330098</c:v>
                </c:pt>
                <c:pt idx="447">
                  <c:v>-38.9541259085076</c:v>
                </c:pt>
                <c:pt idx="448">
                  <c:v>-39.1537167295742</c:v>
                </c:pt>
                <c:pt idx="449">
                  <c:v>-39.3533259307036</c:v>
                </c:pt>
                <c:pt idx="450">
                  <c:v>-39.5529526878204</c:v>
                </c:pt>
                <c:pt idx="451">
                  <c:v>-39.7525962136611</c:v>
                </c:pt>
                <c:pt idx="452">
                  <c:v>-39.9522557561418</c:v>
                </c:pt>
                <c:pt idx="453">
                  <c:v>-40.1519305967964</c:v>
                </c:pt>
                <c:pt idx="454">
                  <c:v>-40.3516200492847</c:v>
                </c:pt>
                <c:pt idx="455">
                  <c:v>-40.5513234579643</c:v>
                </c:pt>
                <c:pt idx="456">
                  <c:v>-40.7510401965263</c:v>
                </c:pt>
                <c:pt idx="457">
                  <c:v>-40.9507696666903</c:v>
                </c:pt>
                <c:pt idx="458">
                  <c:v>-41.1505112969567</c:v>
                </c:pt>
                <c:pt idx="459">
                  <c:v>-41.3502645414146</c:v>
                </c:pt>
                <c:pt idx="460">
                  <c:v>-41.5500288786012</c:v>
                </c:pt>
                <c:pt idx="461">
                  <c:v>-41.7498038104132</c:v>
                </c:pt>
                <c:pt idx="462">
                  <c:v>-41.9495888610638</c:v>
                </c:pt>
                <c:pt idx="463">
                  <c:v>-42.1493835760884</c:v>
                </c:pt>
                <c:pt idx="464">
                  <c:v>-42.3491875213923</c:v>
                </c:pt>
                <c:pt idx="465">
                  <c:v>-42.5490002823414</c:v>
                </c:pt>
                <c:pt idx="466">
                  <c:v>-42.7488214628934</c:v>
                </c:pt>
                <c:pt idx="467">
                  <c:v>-42.9486506847668</c:v>
                </c:pt>
                <c:pt idx="468">
                  <c:v>-43.1484875866474</c:v>
                </c:pt>
                <c:pt idx="469">
                  <c:v>-43.3483318234295</c:v>
                </c:pt>
                <c:pt idx="470">
                  <c:v>-43.5481830654913</c:v>
                </c:pt>
                <c:pt idx="471">
                  <c:v>-43.7480409980025</c:v>
                </c:pt>
                <c:pt idx="472">
                  <c:v>-43.9479053202617</c:v>
                </c:pt>
                <c:pt idx="473">
                  <c:v>-44.1477757450647</c:v>
                </c:pt>
                <c:pt idx="474">
                  <c:v>-44.3476519981001</c:v>
                </c:pt>
                <c:pt idx="475">
                  <c:v>-44.5475338173718</c:v>
                </c:pt>
                <c:pt idx="476">
                  <c:v>-44.7474209526477</c:v>
                </c:pt>
                <c:pt idx="477">
                  <c:v>-44.9473131649324</c:v>
                </c:pt>
                <c:pt idx="478">
                  <c:v>-45.1472102259639</c:v>
                </c:pt>
                <c:pt idx="479">
                  <c:v>-45.3471119177324</c:v>
                </c:pt>
                <c:pt idx="480">
                  <c:v>-45.547018032021</c:v>
                </c:pt>
                <c:pt idx="481">
                  <c:v>-45.7469283699663</c:v>
                </c:pt>
                <c:pt idx="482">
                  <c:v>-45.9468427416393</c:v>
                </c:pt>
                <c:pt idx="483">
                  <c:v>-46.1467609656443</c:v>
                </c:pt>
                <c:pt idx="484">
                  <c:v>-46.3466828687368</c:v>
                </c:pt>
                <c:pt idx="485">
                  <c:v>-46.5466082854569</c:v>
                </c:pt>
                <c:pt idx="486">
                  <c:v>-46.7465370577809</c:v>
                </c:pt>
                <c:pt idx="487">
                  <c:v>-46.9464690347868</c:v>
                </c:pt>
                <c:pt idx="488">
                  <c:v>-47.1464040723364</c:v>
                </c:pt>
                <c:pt idx="489">
                  <c:v>-47.3463420327699</c:v>
                </c:pt>
                <c:pt idx="490">
                  <c:v>-47.5462827846159</c:v>
                </c:pt>
                <c:pt idx="491">
                  <c:v>-47.7462262023127</c:v>
                </c:pt>
                <c:pt idx="492">
                  <c:v>-47.946172165944</c:v>
                </c:pt>
                <c:pt idx="493">
                  <c:v>-48.1461205609844</c:v>
                </c:pt>
                <c:pt idx="494">
                  <c:v>-48.3460712780575</c:v>
                </c:pt>
                <c:pt idx="495">
                  <c:v>-48.5460242127053</c:v>
                </c:pt>
                <c:pt idx="496">
                  <c:v>-48.7459792651663</c:v>
                </c:pt>
                <c:pt idx="497">
                  <c:v>-48.9459363401651</c:v>
                </c:pt>
                <c:pt idx="498">
                  <c:v>-49.1458953467109</c:v>
                </c:pt>
                <c:pt idx="499">
                  <c:v>-49.3458561979044</c:v>
                </c:pt>
                <c:pt idx="500">
                  <c:v>-49.5458188107548</c:v>
                </c:pt>
                <c:pt idx="501">
                  <c:v>-49.7457831060033</c:v>
                </c:pt>
                <c:pt idx="502">
                  <c:v>-49.9457490079562</c:v>
                </c:pt>
                <c:pt idx="503">
                  <c:v>-50.1457164443238</c:v>
                </c:pt>
                <c:pt idx="504">
                  <c:v>-50.3456853460682</c:v>
                </c:pt>
                <c:pt idx="505">
                  <c:v>-50.5456556472566</c:v>
                </c:pt>
                <c:pt idx="506">
                  <c:v>-50.745627284922</c:v>
                </c:pt>
                <c:pt idx="507">
                  <c:v>-50.9456001989297</c:v>
                </c:pt>
                <c:pt idx="508">
                  <c:v>-51.1455743318498</c:v>
                </c:pt>
                <c:pt idx="509">
                  <c:v>-51.3455496288366</c:v>
                </c:pt>
                <c:pt idx="510">
                  <c:v>-51.5455260375108</c:v>
                </c:pt>
                <c:pt idx="511">
                  <c:v>-51.7455035078497</c:v>
                </c:pt>
                <c:pt idx="512">
                  <c:v>-51.9454819920812</c:v>
                </c:pt>
                <c:pt idx="513">
                  <c:v>-52.1454614445822</c:v>
                </c:pt>
                <c:pt idx="514">
                  <c:v>-52.3454418217823</c:v>
                </c:pt>
                <c:pt idx="515">
                  <c:v>-52.545423082071</c:v>
                </c:pt>
                <c:pt idx="516">
                  <c:v>-52.74540518571</c:v>
                </c:pt>
                <c:pt idx="517">
                  <c:v>-52.9453880947491</c:v>
                </c:pt>
                <c:pt idx="518">
                  <c:v>-53.1453717729454</c:v>
                </c:pt>
                <c:pt idx="519">
                  <c:v>-53.3453561856864</c:v>
                </c:pt>
                <c:pt idx="520">
                  <c:v>-53.5453412999174</c:v>
                </c:pt>
                <c:pt idx="521">
                  <c:v>-53.7453270840707</c:v>
                </c:pt>
                <c:pt idx="522">
                  <c:v>-53.945313507999</c:v>
                </c:pt>
                <c:pt idx="523">
                  <c:v>-54.1453005429116</c:v>
                </c:pt>
                <c:pt idx="524">
                  <c:v>-54.345288161313</c:v>
                </c:pt>
                <c:pt idx="525">
                  <c:v>-54.5452763369452</c:v>
                </c:pt>
                <c:pt idx="526">
                  <c:v>-54.7452650447315</c:v>
                </c:pt>
                <c:pt idx="527">
                  <c:v>-54.9452542607238</c:v>
                </c:pt>
                <c:pt idx="528">
                  <c:v>-55.1452439620513</c:v>
                </c:pt>
                <c:pt idx="529">
                  <c:v>-55.3452341268726</c:v>
                </c:pt>
                <c:pt idx="530">
                  <c:v>-55.5452247343291</c:v>
                </c:pt>
                <c:pt idx="531">
                  <c:v>-55.7452157645007</c:v>
                </c:pt>
                <c:pt idx="532">
                  <c:v>-55.9452071983638</c:v>
                </c:pt>
                <c:pt idx="533">
                  <c:v>-56.1451990177507</c:v>
                </c:pt>
                <c:pt idx="534">
                  <c:v>-56.3451912053114</c:v>
                </c:pt>
                <c:pt idx="535">
                  <c:v>-56.5451837444768</c:v>
                </c:pt>
                <c:pt idx="536">
                  <c:v>-56.7451766194231</c:v>
                </c:pt>
                <c:pt idx="537">
                  <c:v>-56.9451698150386</c:v>
                </c:pt>
                <c:pt idx="538">
                  <c:v>-57.1451633168919</c:v>
                </c:pt>
                <c:pt idx="539">
                  <c:v>-57.345157111201</c:v>
                </c:pt>
                <c:pt idx="540">
                  <c:v>-57.5451511848038</c:v>
                </c:pt>
                <c:pt idx="541">
                  <c:v>-57.7451455251309</c:v>
                </c:pt>
              </c:numCache>
            </c:numRef>
          </c:yVal>
          <c:smooth val="1"/>
        </c:ser>
        <c:dLbls>
          <c:showLegendKey val="0"/>
          <c:showVal val="0"/>
          <c:showCatName val="0"/>
          <c:showSerName val="0"/>
          <c:showPercent val="0"/>
          <c:showBubbleSize val="0"/>
        </c:dLbls>
        <c:axId val="175558656"/>
        <c:axId val="175560576"/>
      </c:scatterChart>
      <c:scatterChart>
        <c:scatterStyle val="smooth"/>
        <c:varyColors val="0"/>
        <c:ser>
          <c:idx val="1"/>
          <c:order val="1"/>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Loop_Modeling!$BE$19:$BE$560</c:f>
              <c:numCache>
                <c:formatCode>General</c:formatCode>
                <c:ptCount val="542"/>
                <c:pt idx="0">
                  <c:v>91.9828963036862</c:v>
                </c:pt>
                <c:pt idx="1">
                  <c:v>92.02904322495</c:v>
                </c:pt>
                <c:pt idx="2">
                  <c:v>92.0762621407672</c:v>
                </c:pt>
                <c:pt idx="3">
                  <c:v>92.1245778136954</c:v>
                </c:pt>
                <c:pt idx="4">
                  <c:v>92.1740155683</c:v>
                </c:pt>
                <c:pt idx="5">
                  <c:v>92.2246013031928</c:v>
                </c:pt>
                <c:pt idx="6">
                  <c:v>92.276361503277</c:v>
                </c:pt>
                <c:pt idx="7">
                  <c:v>92.3293232521975</c:v>
                </c:pt>
                <c:pt idx="8">
                  <c:v>92.3835142449962</c:v>
                </c:pt>
                <c:pt idx="9">
                  <c:v>92.4389628009694</c:v>
                </c:pt>
                <c:pt idx="10">
                  <c:v>92.4956978767291</c:v>
                </c:pt>
                <c:pt idx="11">
                  <c:v>92.5537490794615</c:v>
                </c:pt>
                <c:pt idx="12">
                  <c:v>92.6131466803837</c:v>
                </c:pt>
                <c:pt idx="13">
                  <c:v>92.6739216283941</c:v>
                </c:pt>
                <c:pt idx="14">
                  <c:v>92.7361055639115</c:v>
                </c:pt>
                <c:pt idx="15">
                  <c:v>92.7997308329002</c:v>
                </c:pt>
                <c:pt idx="16">
                  <c:v>92.8648305010749</c:v>
                </c:pt>
                <c:pt idx="17">
                  <c:v>92.9314383682789</c:v>
                </c:pt>
                <c:pt idx="18">
                  <c:v>92.99958898303</c:v>
                </c:pt>
                <c:pt idx="19">
                  <c:v>93.0693176572253</c:v>
                </c:pt>
                <c:pt idx="20">
                  <c:v>93.1406604809958</c:v>
                </c:pt>
                <c:pt idx="21">
                  <c:v>93.213654337703</c:v>
                </c:pt>
                <c:pt idx="22">
                  <c:v>93.2883369190633</c:v>
                </c:pt>
                <c:pt idx="23">
                  <c:v>93.3647467403918</c:v>
                </c:pt>
                <c:pt idx="24">
                  <c:v>93.4429231559482</c:v>
                </c:pt>
                <c:pt idx="25">
                  <c:v>93.5229063743733</c:v>
                </c:pt>
                <c:pt idx="26">
                  <c:v>93.6047374741974</c:v>
                </c:pt>
                <c:pt idx="27">
                  <c:v>93.6884584194039</c:v>
                </c:pt>
                <c:pt idx="28">
                  <c:v>93.7741120750271</c:v>
                </c:pt>
                <c:pt idx="29">
                  <c:v>93.8617422227643</c:v>
                </c:pt>
                <c:pt idx="30">
                  <c:v>93.9513935765773</c:v>
                </c:pt>
                <c:pt idx="31">
                  <c:v>94.0431117982581</c:v>
                </c:pt>
                <c:pt idx="32">
                  <c:v>94.1369435129307</c:v>
                </c:pt>
                <c:pt idx="33">
                  <c:v>94.2329363244587</c:v>
                </c:pt>
                <c:pt idx="34">
                  <c:v>94.3311388307263</c:v>
                </c:pt>
                <c:pt idx="35">
                  <c:v>94.4316006387557</c:v>
                </c:pt>
                <c:pt idx="36">
                  <c:v>94.5343723796234</c:v>
                </c:pt>
                <c:pt idx="37">
                  <c:v>94.6395057231335</c:v>
                </c:pt>
                <c:pt idx="38">
                  <c:v>94.7470533922024</c:v>
                </c:pt>
                <c:pt idx="39">
                  <c:v>94.8570691769067</c:v>
                </c:pt>
                <c:pt idx="40">
                  <c:v>94.9696079481413</c:v>
                </c:pt>
                <c:pt idx="41">
                  <c:v>95.0847256708332</c:v>
                </c:pt>
                <c:pt idx="42">
                  <c:v>95.202479416647</c:v>
                </c:pt>
                <c:pt idx="43">
                  <c:v>95.322927376121</c:v>
                </c:pt>
                <c:pt idx="44">
                  <c:v>95.4461288701609</c:v>
                </c:pt>
                <c:pt idx="45">
                  <c:v>95.5721443608178</c:v>
                </c:pt>
                <c:pt idx="46">
                  <c:v>95.7010354612703</c:v>
                </c:pt>
                <c:pt idx="47">
                  <c:v>95.8328649449241</c:v>
                </c:pt>
                <c:pt idx="48">
                  <c:v>95.9676967535384</c:v>
                </c:pt>
                <c:pt idx="49">
                  <c:v>96.1055960042805</c:v>
                </c:pt>
                <c:pt idx="50">
                  <c:v>96.2466289956042</c:v>
                </c:pt>
                <c:pt idx="51">
                  <c:v>96.3908632118417</c:v>
                </c:pt>
                <c:pt idx="52">
                  <c:v>96.5383673263881</c:v>
                </c:pt>
                <c:pt idx="53">
                  <c:v>96.6892112033549</c:v>
                </c:pt>
                <c:pt idx="54">
                  <c:v>96.843465897557</c:v>
                </c:pt>
                <c:pt idx="55">
                  <c:v>97.001203652691</c:v>
                </c:pt>
                <c:pt idx="56">
                  <c:v>97.1624978975539</c:v>
                </c:pt>
                <c:pt idx="57">
                  <c:v>97.3274232401424</c:v>
                </c:pt>
                <c:pt idx="58">
                  <c:v>97.4960554594638</c:v>
                </c:pt>
                <c:pt idx="59">
                  <c:v>97.6684714948777</c:v>
                </c:pt>
                <c:pt idx="60">
                  <c:v>97.8447494327828</c:v>
                </c:pt>
                <c:pt idx="61">
                  <c:v>98.0249684904459</c:v>
                </c:pt>
                <c:pt idx="62">
                  <c:v>98.2092089967668</c:v>
                </c:pt>
                <c:pt idx="63">
                  <c:v>98.3975523697544</c:v>
                </c:pt>
                <c:pt idx="64">
                  <c:v>98.5900810904867</c:v>
                </c:pt>
                <c:pt idx="65">
                  <c:v>98.7868786733076</c:v>
                </c:pt>
                <c:pt idx="66">
                  <c:v>98.9880296320086</c:v>
                </c:pt>
                <c:pt idx="67">
                  <c:v>99.1936194417284</c:v>
                </c:pt>
                <c:pt idx="68">
                  <c:v>99.403734496293</c:v>
                </c:pt>
                <c:pt idx="69">
                  <c:v>99.6184620607079</c:v>
                </c:pt>
                <c:pt idx="70">
                  <c:v>99.8378902185009</c:v>
                </c:pt>
                <c:pt idx="71">
                  <c:v>100.062107813606</c:v>
                </c:pt>
                <c:pt idx="72">
                  <c:v>100.291204386463</c:v>
                </c:pt>
                <c:pt idx="73">
                  <c:v>100.525270104009</c:v>
                </c:pt>
                <c:pt idx="74">
                  <c:v>100.764395683203</c:v>
                </c:pt>
                <c:pt idx="75">
                  <c:v>101.008672307756</c:v>
                </c:pt>
                <c:pt idx="76">
                  <c:v>101.258191537684</c:v>
                </c:pt>
                <c:pt idx="77">
                  <c:v>101.513045211341</c:v>
                </c:pt>
                <c:pt idx="78">
                  <c:v>101.773325339544</c:v>
                </c:pt>
                <c:pt idx="79">
                  <c:v>102.03912399142</c:v>
                </c:pt>
                <c:pt idx="80">
                  <c:v>102.310533171609</c:v>
                </c:pt>
                <c:pt idx="81">
                  <c:v>102.587644688436</c:v>
                </c:pt>
                <c:pt idx="82">
                  <c:v>102.870550012676</c:v>
                </c:pt>
                <c:pt idx="83">
                  <c:v>103.159340126559</c:v>
                </c:pt>
                <c:pt idx="84">
                  <c:v>103.454105362642</c:v>
                </c:pt>
                <c:pt idx="85">
                  <c:v>103.75493523221</c:v>
                </c:pt>
                <c:pt idx="86">
                  <c:v>104.061918242862</c:v>
                </c:pt>
                <c:pt idx="87">
                  <c:v>104.375141704992</c:v>
                </c:pt>
                <c:pt idx="88">
                  <c:v>104.694691526855</c:v>
                </c:pt>
                <c:pt idx="89">
                  <c:v>105.020651997983</c:v>
                </c:pt>
                <c:pt idx="90">
                  <c:v>105.353105560712</c:v>
                </c:pt>
                <c:pt idx="91">
                  <c:v>105.692132569653</c:v>
                </c:pt>
                <c:pt idx="92">
                  <c:v>106.03781103897</c:v>
                </c:pt>
                <c:pt idx="93">
                  <c:v>106.390216377385</c:v>
                </c:pt>
                <c:pt idx="94">
                  <c:v>106.749421110903</c:v>
                </c:pt>
                <c:pt idx="95">
                  <c:v>107.115494593301</c:v>
                </c:pt>
                <c:pt idx="96">
                  <c:v>107.488502704519</c:v>
                </c:pt>
                <c:pt idx="97">
                  <c:v>107.868507537165</c:v>
                </c:pt>
                <c:pt idx="98">
                  <c:v>108.255567071446</c:v>
                </c:pt>
                <c:pt idx="99">
                  <c:v>108.64973483894</c:v>
                </c:pt>
                <c:pt idx="100">
                  <c:v>109.051059575728</c:v>
                </c:pt>
                <c:pt idx="101">
                  <c:v>109.459584865535</c:v>
                </c:pt>
                <c:pt idx="102">
                  <c:v>109.875348773645</c:v>
                </c:pt>
                <c:pt idx="103">
                  <c:v>110.298383472508</c:v>
                </c:pt>
                <c:pt idx="104">
                  <c:v>110.728714860078</c:v>
                </c:pt>
                <c:pt idx="105">
                  <c:v>111.166362172092</c:v>
                </c:pt>
                <c:pt idx="106">
                  <c:v>111.611337589651</c:v>
                </c:pt>
                <c:pt idx="107">
                  <c:v>112.063645843613</c:v>
                </c:pt>
                <c:pt idx="108">
                  <c:v>112.523283817497</c:v>
                </c:pt>
                <c:pt idx="109">
                  <c:v>112.990240150743</c:v>
                </c:pt>
                <c:pt idx="110">
                  <c:v>113.46449484435</c:v>
                </c:pt>
                <c:pt idx="111">
                  <c:v>113.946018871088</c:v>
                </c:pt>
                <c:pt idx="112">
                  <c:v>114.434773792618</c:v>
                </c:pt>
                <c:pt idx="113">
                  <c:v>114.930711386051</c:v>
                </c:pt>
                <c:pt idx="114">
                  <c:v>115.433773282577</c:v>
                </c:pt>
                <c:pt idx="115">
                  <c:v>115.94389062096</c:v>
                </c:pt>
                <c:pt idx="116">
                  <c:v>116.460983718821</c:v>
                </c:pt>
                <c:pt idx="117">
                  <c:v>116.984961764698</c:v>
                </c:pt>
                <c:pt idx="118">
                  <c:v>117.515722533984</c:v>
                </c:pt>
                <c:pt idx="119">
                  <c:v>118.053152131898</c:v>
                </c:pt>
                <c:pt idx="120">
                  <c:v>118.597124766641</c:v>
                </c:pt>
                <c:pt idx="121">
                  <c:v>119.147502555921</c:v>
                </c:pt>
                <c:pt idx="122">
                  <c:v>119.70413536997</c:v>
                </c:pt>
                <c:pt idx="123">
                  <c:v>120.266860714103</c:v>
                </c:pt>
                <c:pt idx="124">
                  <c:v>120.835503653761</c:v>
                </c:pt>
                <c:pt idx="125">
                  <c:v>121.409876784815</c:v>
                </c:pt>
                <c:pt idx="126">
                  <c:v>121.989780251712</c:v>
                </c:pt>
                <c:pt idx="127">
                  <c:v>122.575001815797</c:v>
                </c:pt>
                <c:pt idx="128">
                  <c:v>123.165316975866</c:v>
                </c:pt>
                <c:pt idx="129">
                  <c:v>123.760489142672</c:v>
                </c:pt>
                <c:pt idx="130">
                  <c:v>124.360269868732</c:v>
                </c:pt>
                <c:pt idx="131">
                  <c:v>124.964399134383</c:v>
                </c:pt>
                <c:pt idx="132">
                  <c:v>125.572605690589</c:v>
                </c:pt>
                <c:pt idx="133">
                  <c:v>126.184607458526</c:v>
                </c:pt>
                <c:pt idx="134">
                  <c:v>126.80011198548</c:v>
                </c:pt>
                <c:pt idx="135">
                  <c:v>127.418816956069</c:v>
                </c:pt>
                <c:pt idx="136">
                  <c:v>128.040410757275</c:v>
                </c:pt>
                <c:pt idx="137">
                  <c:v>128.664573095241</c:v>
                </c:pt>
                <c:pt idx="138">
                  <c:v>129.290975661253</c:v>
                </c:pt>
                <c:pt idx="139">
                  <c:v>129.919282843805</c:v>
                </c:pt>
                <c:pt idx="140">
                  <c:v>130.549152483159</c:v>
                </c:pt>
                <c:pt idx="141">
                  <c:v>131.180236664324</c:v>
                </c:pt>
                <c:pt idx="142">
                  <c:v>131.812182543964</c:v>
                </c:pt>
                <c:pt idx="143">
                  <c:v>132.444633206323</c:v>
                </c:pt>
                <c:pt idx="144">
                  <c:v>133.077228542967</c:v>
                </c:pt>
                <c:pt idx="145">
                  <c:v>133.709606150803</c:v>
                </c:pt>
                <c:pt idx="146">
                  <c:v>134.341402242654</c:v>
                </c:pt>
                <c:pt idx="147">
                  <c:v>134.972252564521</c:v>
                </c:pt>
                <c:pt idx="148">
                  <c:v>135.601793313544</c:v>
                </c:pt>
                <c:pt idx="149">
                  <c:v>136.229662050712</c:v>
                </c:pt>
                <c:pt idx="150">
                  <c:v>136.85549860239</c:v>
                </c:pt>
                <c:pt idx="151">
                  <c:v>137.478945944892</c:v>
                </c:pt>
                <c:pt idx="152">
                  <c:v>138.099651066517</c:v>
                </c:pt>
                <c:pt idx="153">
                  <c:v>138.717265801719</c:v>
                </c:pt>
                <c:pt idx="154">
                  <c:v>139.331447632435</c:v>
                </c:pt>
                <c:pt idx="155">
                  <c:v>139.941860451929</c:v>
                </c:pt>
                <c:pt idx="156">
                  <c:v>140.548175286968</c:v>
                </c:pt>
                <c:pt idx="157">
                  <c:v>141.150070974596</c:v>
                </c:pt>
                <c:pt idx="158">
                  <c:v>141.747234790236</c:v>
                </c:pt>
                <c:pt idx="159">
                  <c:v>142.339363024429</c:v>
                </c:pt>
                <c:pt idx="160">
                  <c:v>142.926161505968</c:v>
                </c:pt>
                <c:pt idx="161">
                  <c:v>143.507346069778</c:v>
                </c:pt>
                <c:pt idx="162">
                  <c:v>144.082642968403</c:v>
                </c:pt>
                <c:pt idx="163">
                  <c:v>144.651789226472</c:v>
                </c:pt>
                <c:pt idx="164">
                  <c:v>145.214532938044</c:v>
                </c:pt>
                <c:pt idx="165">
                  <c:v>145.770633507186</c:v>
                </c:pt>
                <c:pt idx="166">
                  <c:v>146.319861832618</c:v>
                </c:pt>
                <c:pt idx="167">
                  <c:v>146.862000437648</c:v>
                </c:pt>
                <c:pt idx="168">
                  <c:v>147.396843547029</c:v>
                </c:pt>
                <c:pt idx="169">
                  <c:v>147.924197112687</c:v>
                </c:pt>
                <c:pt idx="170">
                  <c:v>148.443878790591</c:v>
                </c:pt>
                <c:pt idx="171">
                  <c:v>148.955717871271</c:v>
                </c:pt>
                <c:pt idx="172">
                  <c:v>149.459555166708</c:v>
                </c:pt>
                <c:pt idx="173">
                  <c:v>149.955242856515</c:v>
                </c:pt>
                <c:pt idx="174">
                  <c:v>150.442644296399</c:v>
                </c:pt>
                <c:pt idx="175">
                  <c:v>150.921633792053</c:v>
                </c:pt>
                <c:pt idx="176">
                  <c:v>151.392096341615</c:v>
                </c:pt>
                <c:pt idx="177">
                  <c:v>151.853927349881</c:v>
                </c:pt>
                <c:pt idx="178">
                  <c:v>152.307032317435</c:v>
                </c:pt>
                <c:pt idx="179">
                  <c:v>152.751326507801</c:v>
                </c:pt>
                <c:pt idx="180">
                  <c:v>153.186734595669</c:v>
                </c:pt>
                <c:pt idx="181">
                  <c:v>153.613190299124</c:v>
                </c:pt>
                <c:pt idx="182">
                  <c:v>154.030635998725</c:v>
                </c:pt>
                <c:pt idx="183">
                  <c:v>154.439022346128</c:v>
                </c:pt>
                <c:pt idx="184">
                  <c:v>154.838307864807</c:v>
                </c:pt>
                <c:pt idx="185">
                  <c:v>155.228458545287</c:v>
                </c:pt>
                <c:pt idx="186">
                  <c:v>155.60944743712</c:v>
                </c:pt>
                <c:pt idx="187">
                  <c:v>155.981254239697</c:v>
                </c:pt>
                <c:pt idx="188">
                  <c:v>156.343864893798</c:v>
                </c:pt>
                <c:pt idx="189">
                  <c:v>156.697271175638</c:v>
                </c:pt>
                <c:pt idx="190">
                  <c:v>157.041470294972</c:v>
                </c:pt>
                <c:pt idx="191">
                  <c:v>157.376464498701</c:v>
                </c:pt>
                <c:pt idx="192">
                  <c:v>157.702260681215</c:v>
                </c:pt>
                <c:pt idx="193">
                  <c:v>158.018870002609</c:v>
                </c:pt>
                <c:pt idx="194">
                  <c:v>158.326307515721</c:v>
                </c:pt>
                <c:pt idx="195">
                  <c:v>158.624591802829</c:v>
                </c:pt>
                <c:pt idx="196">
                  <c:v>158.913744622705</c:v>
                </c:pt>
                <c:pt idx="197">
                  <c:v>159.193790568614</c:v>
                </c:pt>
                <c:pt idx="198">
                  <c:v>159.464756737711</c:v>
                </c:pt>
                <c:pt idx="199">
                  <c:v>159.72667241222</c:v>
                </c:pt>
                <c:pt idx="200">
                  <c:v>159.97956875266</c:v>
                </c:pt>
                <c:pt idx="201">
                  <c:v>160.223478503296</c:v>
                </c:pt>
                <c:pt idx="202">
                  <c:v>160.45843570994</c:v>
                </c:pt>
                <c:pt idx="203">
                  <c:v>160.684475450128</c:v>
                </c:pt>
                <c:pt idx="204">
                  <c:v>160.901633575664</c:v>
                </c:pt>
                <c:pt idx="205">
                  <c:v>161.109946467449</c:v>
                </c:pt>
                <c:pt idx="206">
                  <c:v>161.309450802477</c:v>
                </c:pt>
                <c:pt idx="207">
                  <c:v>161.500183332841</c:v>
                </c:pt>
                <c:pt idx="208">
                  <c:v>161.68218067655</c:v>
                </c:pt>
                <c:pt idx="209">
                  <c:v>161.855479119944</c:v>
                </c:pt>
                <c:pt idx="210">
                  <c:v>162.020114431452</c:v>
                </c:pt>
                <c:pt idx="211">
                  <c:v>162.17612168645</c:v>
                </c:pt>
                <c:pt idx="212">
                  <c:v>162.323535102925</c:v>
                </c:pt>
                <c:pt idx="213">
                  <c:v>162.462387887689</c:v>
                </c:pt>
                <c:pt idx="214">
                  <c:v>162.59271209284</c:v>
                </c:pt>
                <c:pt idx="215">
                  <c:v>162.714538482191</c:v>
                </c:pt>
                <c:pt idx="216">
                  <c:v>162.827896407383</c:v>
                </c:pt>
                <c:pt idx="217">
                  <c:v>162.93281369341</c:v>
                </c:pt>
                <c:pt idx="218">
                  <c:v>163.029316533277</c:v>
                </c:pt>
                <c:pt idx="219">
                  <c:v>163.117429391535</c:v>
                </c:pt>
                <c:pt idx="220">
                  <c:v>163.197174916449</c:v>
                </c:pt>
                <c:pt idx="221">
                  <c:v>163.268573860561</c:v>
                </c:pt>
                <c:pt idx="222">
                  <c:v>163.331645009429</c:v>
                </c:pt>
                <c:pt idx="223">
                  <c:v>163.386405118343</c:v>
                </c:pt>
                <c:pt idx="224">
                  <c:v>163.432868856833</c:v>
                </c:pt>
                <c:pt idx="225">
                  <c:v>163.471048760809</c:v>
                </c:pt>
                <c:pt idx="226">
                  <c:v>163.500955192178</c:v>
                </c:pt>
                <c:pt idx="227">
                  <c:v>163.522596305828</c:v>
                </c:pt>
                <c:pt idx="228">
                  <c:v>163.535978023862</c:v>
                </c:pt>
                <c:pt idx="229">
                  <c:v>163.541104017011</c:v>
                </c:pt>
                <c:pt idx="230">
                  <c:v>163.537975693169</c:v>
                </c:pt>
                <c:pt idx="231">
                  <c:v>163.526592193001</c:v>
                </c:pt>
                <c:pt idx="232">
                  <c:v>163.50695039262</c:v>
                </c:pt>
                <c:pt idx="233">
                  <c:v>163.479044913344</c:v>
                </c:pt>
                <c:pt idx="234">
                  <c:v>163.442868138554</c:v>
                </c:pt>
                <c:pt idx="235">
                  <c:v>163.398410237709</c:v>
                </c:pt>
                <c:pt idx="236">
                  <c:v>163.345659197609</c:v>
                </c:pt>
                <c:pt idx="237">
                  <c:v>163.284600860976</c:v>
                </c:pt>
                <c:pt idx="238">
                  <c:v>163.215218972499</c:v>
                </c:pt>
                <c:pt idx="239">
                  <c:v>163.137495232457</c:v>
                </c:pt>
                <c:pt idx="240">
                  <c:v>163.051409358109</c:v>
                </c:pt>
                <c:pt idx="241">
                  <c:v>162.956939153002</c:v>
                </c:pt>
                <c:pt idx="242">
                  <c:v>162.85406058441</c:v>
                </c:pt>
                <c:pt idx="243">
                  <c:v>162.742747869115</c:v>
                </c:pt>
                <c:pt idx="244">
                  <c:v>162.62297356776</c:v>
                </c:pt>
                <c:pt idx="245">
                  <c:v>162.494708688019</c:v>
                </c:pt>
                <c:pt idx="246">
                  <c:v>162.357922796837</c:v>
                </c:pt>
                <c:pt idx="247">
                  <c:v>162.212584142016</c:v>
                </c:pt>
                <c:pt idx="248">
                  <c:v>162.058659783415</c:v>
                </c:pt>
                <c:pt idx="249">
                  <c:v>161.896115734046</c:v>
                </c:pt>
                <c:pt idx="250">
                  <c:v>161.724917111366</c:v>
                </c:pt>
                <c:pt idx="251">
                  <c:v>161.545028299021</c:v>
                </c:pt>
                <c:pt idx="252">
                  <c:v>161.356413119354</c:v>
                </c:pt>
                <c:pt idx="253">
                  <c:v>161.159035016935</c:v>
                </c:pt>
                <c:pt idx="254">
                  <c:v>160.95285725338</c:v>
                </c:pt>
                <c:pt idx="255">
                  <c:v>160.737843113702</c:v>
                </c:pt>
                <c:pt idx="256">
                  <c:v>160.513956124429</c:v>
                </c:pt>
                <c:pt idx="257">
                  <c:v>160.281160283689</c:v>
                </c:pt>
                <c:pt idx="258">
                  <c:v>160.039420303419</c:v>
                </c:pt>
                <c:pt idx="259">
                  <c:v>159.788701863842</c:v>
                </c:pt>
                <c:pt idx="260">
                  <c:v>159.528971880292</c:v>
                </c:pt>
                <c:pt idx="261">
                  <c:v>159.260198782419</c:v>
                </c:pt>
                <c:pt idx="262">
                  <c:v>158.982352805758</c:v>
                </c:pt>
                <c:pt idx="263">
                  <c:v>158.695406295555</c:v>
                </c:pt>
                <c:pt idx="264">
                  <c:v>158.3993340227</c:v>
                </c:pt>
                <c:pt idx="265">
                  <c:v>158.094113511502</c:v>
                </c:pt>
                <c:pt idx="266">
                  <c:v>157.779725378975</c:v>
                </c:pt>
                <c:pt idx="267">
                  <c:v>157.456153685181</c:v>
                </c:pt>
                <c:pt idx="268">
                  <c:v>157.123386294089</c:v>
                </c:pt>
                <c:pt idx="269">
                  <c:v>156.781415244268</c:v>
                </c:pt>
                <c:pt idx="270">
                  <c:v>156.430237128621</c:v>
                </c:pt>
                <c:pt idx="271">
                  <c:v>156.069853482233</c:v>
                </c:pt>
                <c:pt idx="272">
                  <c:v>155.700271177243</c:v>
                </c:pt>
                <c:pt idx="273">
                  <c:v>155.321502823532</c:v>
                </c:pt>
                <c:pt idx="274">
                  <c:v>154.933567173835</c:v>
                </c:pt>
                <c:pt idx="275">
                  <c:v>154.53648953174</c:v>
                </c:pt>
                <c:pt idx="276">
                  <c:v>154.130302160865</c:v>
                </c:pt>
                <c:pt idx="277">
                  <c:v>153.715044693353</c:v>
                </c:pt>
                <c:pt idx="278">
                  <c:v>153.290764535618</c:v>
                </c:pt>
                <c:pt idx="279">
                  <c:v>152.857517269176</c:v>
                </c:pt>
                <c:pt idx="280">
                  <c:v>152.415367044158</c:v>
                </c:pt>
                <c:pt idx="281">
                  <c:v>151.964386963006</c:v>
                </c:pt>
                <c:pt idx="282">
                  <c:v>151.50465945168</c:v>
                </c:pt>
                <c:pt idx="283">
                  <c:v>151.03627661557</c:v>
                </c:pt>
                <c:pt idx="284">
                  <c:v>150.5593405772</c:v>
                </c:pt>
                <c:pt idx="285">
                  <c:v>150.073963792701</c:v>
                </c:pt>
                <c:pt idx="286">
                  <c:v>149.580269343956</c:v>
                </c:pt>
                <c:pt idx="287">
                  <c:v>149.078391203266</c:v>
                </c:pt>
                <c:pt idx="288">
                  <c:v>148.568474467363</c:v>
                </c:pt>
                <c:pt idx="289">
                  <c:v>148.05067555759</c:v>
                </c:pt>
                <c:pt idx="290">
                  <c:v>147.525162383147</c:v>
                </c:pt>
                <c:pt idx="291">
                  <c:v>146.992114464307</c:v>
                </c:pt>
                <c:pt idx="292">
                  <c:v>146.451723012725</c:v>
                </c:pt>
                <c:pt idx="293">
                  <c:v>145.904190966022</c:v>
                </c:pt>
                <c:pt idx="294">
                  <c:v>145.349732974096</c:v>
                </c:pt>
                <c:pt idx="295">
                  <c:v>144.788575334836</c:v>
                </c:pt>
                <c:pt idx="296">
                  <c:v>144.22095587719</c:v>
                </c:pt>
                <c:pt idx="297">
                  <c:v>143.647123789889</c:v>
                </c:pt>
                <c:pt idx="298">
                  <c:v>143.067339394501</c:v>
                </c:pt>
                <c:pt idx="299">
                  <c:v>142.481873861872</c:v>
                </c:pt>
                <c:pt idx="300">
                  <c:v>141.891008871493</c:v>
                </c:pt>
                <c:pt idx="301">
                  <c:v>141.295036213775</c:v>
                </c:pt>
                <c:pt idx="302">
                  <c:v>140.694257335737</c:v>
                </c:pt>
                <c:pt idx="303">
                  <c:v>140.088982831101</c:v>
                </c:pt>
                <c:pt idx="304">
                  <c:v>139.479531876355</c:v>
                </c:pt>
                <c:pt idx="305">
                  <c:v>138.866231614845</c:v>
                </c:pt>
                <c:pt idx="306">
                  <c:v>138.249416491498</c:v>
                </c:pt>
                <c:pt idx="307">
                  <c:v>137.629427541321</c:v>
                </c:pt>
                <c:pt idx="308">
                  <c:v>137.00661163526</c:v>
                </c:pt>
                <c:pt idx="309">
                  <c:v>136.381320687544</c:v>
                </c:pt>
                <c:pt idx="310">
                  <c:v>135.753910829014</c:v>
                </c:pt>
                <c:pt idx="311">
                  <c:v>135.124741551355</c:v>
                </c:pt>
                <c:pt idx="312">
                  <c:v>134.494174827475</c:v>
                </c:pt>
                <c:pt idx="313">
                  <c:v>133.862574213556</c:v>
                </c:pt>
                <c:pt idx="314">
                  <c:v>133.230303938513</c:v>
                </c:pt>
                <c:pt idx="315">
                  <c:v>132.597727986756</c:v>
                </c:pt>
                <c:pt idx="316">
                  <c:v>131.965209180212</c:v>
                </c:pt>
                <c:pt idx="317">
                  <c:v>131.333108265588</c:v>
                </c:pt>
                <c:pt idx="318">
                  <c:v>130.701783012774</c:v>
                </c:pt>
                <c:pt idx="319">
                  <c:v>130.071587330174</c:v>
                </c:pt>
                <c:pt idx="320">
                  <c:v>129.442870402518</c:v>
                </c:pt>
                <c:pt idx="321">
                  <c:v>128.815975856469</c:v>
                </c:pt>
                <c:pt idx="322">
                  <c:v>128.191240959011</c:v>
                </c:pt>
                <c:pt idx="323">
                  <c:v>127.568995853194</c:v>
                </c:pt>
                <c:pt idx="324">
                  <c:v>126.949562835438</c:v>
                </c:pt>
                <c:pt idx="325">
                  <c:v>126.333255678097</c:v>
                </c:pt>
                <c:pt idx="326">
                  <c:v>125.720379000503</c:v>
                </c:pt>
                <c:pt idx="327">
                  <c:v>125.111227691195</c:v>
                </c:pt>
                <c:pt idx="328">
                  <c:v>124.506086383517</c:v>
                </c:pt>
                <c:pt idx="329">
                  <c:v>123.90522898622</c:v>
                </c:pt>
                <c:pt idx="330">
                  <c:v>123.308918270189</c:v>
                </c:pt>
                <c:pt idx="331">
                  <c:v>122.717405511875</c:v>
                </c:pt>
                <c:pt idx="332">
                  <c:v>122.130930193539</c:v>
                </c:pt>
                <c:pt idx="333">
                  <c:v>121.549719759893</c:v>
                </c:pt>
                <c:pt idx="334">
                  <c:v>120.973989430333</c:v>
                </c:pt>
                <c:pt idx="335">
                  <c:v>120.403942065462</c:v>
                </c:pt>
                <c:pt idx="336">
                  <c:v>119.839768086309</c:v>
                </c:pt>
                <c:pt idx="337">
                  <c:v>119.281645444244</c:v>
                </c:pt>
                <c:pt idx="338">
                  <c:v>118.729739639322</c:v>
                </c:pt>
                <c:pt idx="339">
                  <c:v>118.184203784538</c:v>
                </c:pt>
                <c:pt idx="340">
                  <c:v>117.645178713246</c:v>
                </c:pt>
                <c:pt idx="341">
                  <c:v>117.112793126853</c:v>
                </c:pt>
                <c:pt idx="342">
                  <c:v>116.587163779743</c:v>
                </c:pt>
                <c:pt idx="343">
                  <c:v>116.068395698339</c:v>
                </c:pt>
                <c:pt idx="344">
                  <c:v>115.556582431115</c:v>
                </c:pt>
                <c:pt idx="345">
                  <c:v>115.051806326411</c:v>
                </c:pt>
                <c:pt idx="346">
                  <c:v>114.554138834873</c:v>
                </c:pt>
                <c:pt idx="347">
                  <c:v>114.063640833425</c:v>
                </c:pt>
                <c:pt idx="348">
                  <c:v>113.580362967743</c:v>
                </c:pt>
                <c:pt idx="349">
                  <c:v>113.104346010282</c:v>
                </c:pt>
                <c:pt idx="350">
                  <c:v>112.635621231054</c:v>
                </c:pt>
                <c:pt idx="351">
                  <c:v>112.174210778448</c:v>
                </c:pt>
                <c:pt idx="352">
                  <c:v>111.720128067579</c:v>
                </c:pt>
                <c:pt idx="353">
                  <c:v>111.273378173742</c:v>
                </c:pt>
                <c:pt idx="354">
                  <c:v>110.833958228772</c:v>
                </c:pt>
                <c:pt idx="355">
                  <c:v>110.401857818228</c:v>
                </c:pt>
                <c:pt idx="356">
                  <c:v>109.977059377526</c:v>
                </c:pt>
                <c:pt idx="357">
                  <c:v>109.559538585268</c:v>
                </c:pt>
                <c:pt idx="358">
                  <c:v>109.149264752239</c:v>
                </c:pt>
                <c:pt idx="359">
                  <c:v>108.746201204643</c:v>
                </c:pt>
                <c:pt idx="360">
                  <c:v>108.350305660364</c:v>
                </c:pt>
                <c:pt idx="361">
                  <c:v>107.961530597145</c:v>
                </c:pt>
                <c:pt idx="362">
                  <c:v>107.579823611761</c:v>
                </c:pt>
                <c:pt idx="363">
                  <c:v>107.205127769364</c:v>
                </c:pt>
                <c:pt idx="364">
                  <c:v>106.837381942341</c:v>
                </c:pt>
                <c:pt idx="365">
                  <c:v>106.476521138125</c:v>
                </c:pt>
                <c:pt idx="366">
                  <c:v>106.122476815522</c:v>
                </c:pt>
                <c:pt idx="367">
                  <c:v>105.775177189221</c:v>
                </c:pt>
                <c:pt idx="368">
                  <c:v>105.434547522247</c:v>
                </c:pt>
                <c:pt idx="369">
                  <c:v>105.100510406208</c:v>
                </c:pt>
                <c:pt idx="370">
                  <c:v>104.77298602926</c:v>
                </c:pt>
                <c:pt idx="371">
                  <c:v>104.451892431793</c:v>
                </c:pt>
                <c:pt idx="372">
                  <c:v>104.137145749905</c:v>
                </c:pt>
                <c:pt idx="373">
                  <c:v>103.828660446774</c:v>
                </c:pt>
                <c:pt idx="374">
                  <c:v>103.526349532102</c:v>
                </c:pt>
                <c:pt idx="375">
                  <c:v>103.230124769848</c:v>
                </c:pt>
                <c:pt idx="376">
                  <c:v>102.93989687448</c:v>
                </c:pt>
                <c:pt idx="377">
                  <c:v>102.655575696054</c:v>
                </c:pt>
                <c:pt idx="378">
                  <c:v>102.377070394396</c:v>
                </c:pt>
                <c:pt idx="379">
                  <c:v>102.104289602734</c:v>
                </c:pt>
                <c:pt idx="380">
                  <c:v>101.837141581117</c:v>
                </c:pt>
                <c:pt idx="381">
                  <c:v>101.575534359972</c:v>
                </c:pt>
                <c:pt idx="382">
                  <c:v>101.319375874178</c:v>
                </c:pt>
                <c:pt idx="383">
                  <c:v>101.068574088015</c:v>
                </c:pt>
                <c:pt idx="384">
                  <c:v>100.823037111373</c:v>
                </c:pt>
                <c:pt idx="385">
                  <c:v>100.582673307594</c:v>
                </c:pt>
                <c:pt idx="386">
                  <c:v>100.347391393324</c:v>
                </c:pt>
                <c:pt idx="387">
                  <c:v>100.11710053074</c:v>
                </c:pt>
                <c:pt idx="388">
                  <c:v>99.8917104125288</c:v>
                </c:pt>
                <c:pt idx="389">
                  <c:v>99.6711313399704</c:v>
                </c:pt>
                <c:pt idx="390">
                  <c:v>99.4552742944823</c:v>
                </c:pt>
                <c:pt idx="391">
                  <c:v>99.2440510029663</c:v>
                </c:pt>
                <c:pt idx="392">
                  <c:v>99.0373739972947</c:v>
                </c:pt>
                <c:pt idx="393">
                  <c:v>98.8351566682596</c:v>
                </c:pt>
                <c:pt idx="394">
                  <c:v>98.6373133142987</c:v>
                </c:pt>
                <c:pt idx="395">
                  <c:v>98.4437591853023</c:v>
                </c:pt>
                <c:pt idx="396">
                  <c:v>98.2544105217902</c:v>
                </c:pt>
                <c:pt idx="397">
                  <c:v>98.0691845897422</c:v>
                </c:pt>
                <c:pt idx="398">
                  <c:v>97.887999711349</c:v>
                </c:pt>
                <c:pt idx="399">
                  <c:v>97.7107752919402</c:v>
                </c:pt>
                <c:pt idx="400">
                  <c:v>97.5374318433375</c:v>
                </c:pt>
                <c:pt idx="401">
                  <c:v>97.3678910038649</c:v>
                </c:pt>
                <c:pt idx="402">
                  <c:v>97.2020755552416</c:v>
                </c:pt>
                <c:pt idx="403">
                  <c:v>97.0399094365689</c:v>
                </c:pt>
                <c:pt idx="404">
                  <c:v>96.8813177556118</c:v>
                </c:pt>
                <c:pt idx="405">
                  <c:v>96.7262267975702</c:v>
                </c:pt>
                <c:pt idx="406">
                  <c:v>96.5745640315169</c:v>
                </c:pt>
                <c:pt idx="407">
                  <c:v>96.426258114677</c:v>
                </c:pt>
                <c:pt idx="408">
                  <c:v>96.2812388947097</c:v>
                </c:pt>
                <c:pt idx="409">
                  <c:v>96.1394374101451</c:v>
                </c:pt>
                <c:pt idx="410">
                  <c:v>96.0007858891225</c:v>
                </c:pt>
                <c:pt idx="411">
                  <c:v>95.8652177465635</c:v>
                </c:pt>
                <c:pt idx="412">
                  <c:v>95.7326675799099</c:v>
                </c:pt>
                <c:pt idx="413">
                  <c:v>95.6030711635464</c:v>
                </c:pt>
                <c:pt idx="414">
                  <c:v>95.4763654420205</c:v>
                </c:pt>
                <c:pt idx="415">
                  <c:v>95.3524885221665</c:v>
                </c:pt>
                <c:pt idx="416">
                  <c:v>95.2313796642326</c:v>
                </c:pt>
                <c:pt idx="417">
                  <c:v>95.1129792721043</c:v>
                </c:pt>
                <c:pt idx="418">
                  <c:v>94.9972288827116</c:v>
                </c:pt>
                <c:pt idx="419">
                  <c:v>94.8840711547012</c:v>
                </c:pt>
                <c:pt idx="420">
                  <c:v>94.7734498564498</c:v>
                </c:pt>
                <c:pt idx="421">
                  <c:v>94.6653098534894</c:v>
                </c:pt>
                <c:pt idx="422">
                  <c:v>94.5595970954116</c:v>
                </c:pt>
                <c:pt idx="423">
                  <c:v>94.4562586023113</c:v>
                </c:pt>
                <c:pt idx="424">
                  <c:v>94.3552424508283</c:v>
                </c:pt>
                <c:pt idx="425">
                  <c:v>94.2564977598393</c:v>
                </c:pt>
                <c:pt idx="426">
                  <c:v>94.1599746758505</c:v>
                </c:pt>
                <c:pt idx="427">
                  <c:v>94.0656243581359</c:v>
                </c:pt>
                <c:pt idx="428">
                  <c:v>93.9733989636653</c:v>
                </c:pt>
                <c:pt idx="429">
                  <c:v>93.8832516318587</c:v>
                </c:pt>
                <c:pt idx="430">
                  <c:v>93.7951364692072</c:v>
                </c:pt>
                <c:pt idx="431">
                  <c:v>93.7090085337906</c:v>
                </c:pt>
                <c:pt idx="432">
                  <c:v>93.6248238197242</c:v>
                </c:pt>
                <c:pt idx="433">
                  <c:v>93.5425392415642</c:v>
                </c:pt>
                <c:pt idx="434">
                  <c:v>93.4621126186956</c:v>
                </c:pt>
                <c:pt idx="435">
                  <c:v>93.3835026597289</c:v>
                </c:pt>
                <c:pt idx="436">
                  <c:v>93.3066689469263</c:v>
                </c:pt>
                <c:pt idx="437">
                  <c:v>93.2315719206781</c:v>
                </c:pt>
                <c:pt idx="438">
                  <c:v>93.1581728640477</c:v>
                </c:pt>
                <c:pt idx="439">
                  <c:v>93.086433887402</c:v>
                </c:pt>
                <c:pt idx="440">
                  <c:v>93.0163179131415</c:v>
                </c:pt>
                <c:pt idx="441">
                  <c:v>92.9477886605462</c:v>
                </c:pt>
                <c:pt idx="442">
                  <c:v>92.8808106307466</c:v>
                </c:pt>
                <c:pt idx="443">
                  <c:v>92.8153490918344</c:v>
                </c:pt>
                <c:pt idx="444">
                  <c:v>92.7513700641197</c:v>
                </c:pt>
                <c:pt idx="445">
                  <c:v>92.688840305547</c:v>
                </c:pt>
                <c:pt idx="446">
                  <c:v>92.6277272972746</c:v>
                </c:pt>
                <c:pt idx="447">
                  <c:v>92.5679992294282</c:v>
                </c:pt>
                <c:pt idx="448">
                  <c:v>92.5096249870311</c:v>
                </c:pt>
                <c:pt idx="449">
                  <c:v>92.4525741361198</c:v>
                </c:pt>
                <c:pt idx="450">
                  <c:v>92.3968169100477</c:v>
                </c:pt>
                <c:pt idx="451">
                  <c:v>92.3423241959813</c:v>
                </c:pt>
                <c:pt idx="452">
                  <c:v>92.2890675215928</c:v>
                </c:pt>
                <c:pt idx="453">
                  <c:v>92.2370190419518</c:v>
                </c:pt>
                <c:pt idx="454">
                  <c:v>92.1861515266178</c:v>
                </c:pt>
                <c:pt idx="455">
                  <c:v>92.1364383469359</c:v>
                </c:pt>
                <c:pt idx="456">
                  <c:v>92.0878534635368</c:v>
                </c:pt>
                <c:pt idx="457">
                  <c:v>92.0403714140424</c:v>
                </c:pt>
                <c:pt idx="458">
                  <c:v>91.9939673009767</c:v>
                </c:pt>
                <c:pt idx="459">
                  <c:v>91.948616779883</c:v>
                </c:pt>
                <c:pt idx="460">
                  <c:v>91.904296047647</c:v>
                </c:pt>
                <c:pt idx="461">
                  <c:v>91.860981831025</c:v>
                </c:pt>
                <c:pt idx="462">
                  <c:v>91.8186513753775</c:v>
                </c:pt>
                <c:pt idx="463">
                  <c:v>91.7772824336058</c:v>
                </c:pt>
                <c:pt idx="464">
                  <c:v>91.736853255292</c:v>
                </c:pt>
                <c:pt idx="465">
                  <c:v>91.6973425760393</c:v>
                </c:pt>
                <c:pt idx="466">
                  <c:v>91.6587296070135</c:v>
                </c:pt>
                <c:pt idx="467">
                  <c:v>91.6209940246807</c:v>
                </c:pt>
                <c:pt idx="468">
                  <c:v>91.5841159607427</c:v>
                </c:pt>
                <c:pt idx="469">
                  <c:v>91.5480759922659</c:v>
                </c:pt>
                <c:pt idx="470">
                  <c:v>91.5128551320019</c:v>
                </c:pt>
                <c:pt idx="471">
                  <c:v>91.4784348188989</c:v>
                </c:pt>
                <c:pt idx="472">
                  <c:v>91.4447969087998</c:v>
                </c:pt>
                <c:pt idx="473">
                  <c:v>91.4119236653258</c:v>
                </c:pt>
                <c:pt idx="474">
                  <c:v>91.3797977509427</c:v>
                </c:pt>
                <c:pt idx="475">
                  <c:v>91.3484022182073</c:v>
                </c:pt>
                <c:pt idx="476">
                  <c:v>91.3177205011915</c:v>
                </c:pt>
                <c:pt idx="477">
                  <c:v>91.2877364070817</c:v>
                </c:pt>
                <c:pt idx="478">
                  <c:v>91.2584341079497</c:v>
                </c:pt>
                <c:pt idx="479">
                  <c:v>91.2297981326945</c:v>
                </c:pt>
                <c:pt idx="480">
                  <c:v>91.2018133591501</c:v>
                </c:pt>
                <c:pt idx="481">
                  <c:v>91.174465006358</c:v>
                </c:pt>
                <c:pt idx="482">
                  <c:v>91.1477386270014</c:v>
                </c:pt>
                <c:pt idx="483">
                  <c:v>91.1216200999981</c:v>
                </c:pt>
                <c:pt idx="484">
                  <c:v>91.0960956232496</c:v>
                </c:pt>
                <c:pt idx="485">
                  <c:v>91.0711517065431</c:v>
                </c:pt>
                <c:pt idx="486">
                  <c:v>91.0467751646054</c:v>
                </c:pt>
                <c:pt idx="487">
                  <c:v>91.0229531103031</c:v>
                </c:pt>
                <c:pt idx="488">
                  <c:v>90.9996729479897</c:v>
                </c:pt>
                <c:pt idx="489">
                  <c:v>90.976922366994</c:v>
                </c:pt>
                <c:pt idx="490">
                  <c:v>90.9546893352497</c:v>
                </c:pt>
                <c:pt idx="491">
                  <c:v>90.9329620930609</c:v>
                </c:pt>
                <c:pt idx="492">
                  <c:v>90.9117291470035</c:v>
                </c:pt>
                <c:pt idx="493">
                  <c:v>90.890979263958</c:v>
                </c:pt>
                <c:pt idx="494">
                  <c:v>90.8707014652723</c:v>
                </c:pt>
                <c:pt idx="495">
                  <c:v>90.8508850210513</c:v>
                </c:pt>
                <c:pt idx="496">
                  <c:v>90.8315194445708</c:v>
                </c:pt>
                <c:pt idx="497">
                  <c:v>90.8125944868139</c:v>
                </c:pt>
                <c:pt idx="498">
                  <c:v>90.794100131127</c:v>
                </c:pt>
                <c:pt idx="499">
                  <c:v>90.7760265879921</c:v>
                </c:pt>
                <c:pt idx="500">
                  <c:v>90.7583642899154</c:v>
                </c:pt>
                <c:pt idx="501">
                  <c:v>90.7411038864273</c:v>
                </c:pt>
                <c:pt idx="502">
                  <c:v>90.7242362391928</c:v>
                </c:pt>
                <c:pt idx="503">
                  <c:v>90.7077524172301</c:v>
                </c:pt>
                <c:pt idx="504">
                  <c:v>90.6916436922348</c:v>
                </c:pt>
                <c:pt idx="505">
                  <c:v>90.6759015340075</c:v>
                </c:pt>
                <c:pt idx="506">
                  <c:v>90.6605176059825</c:v>
                </c:pt>
                <c:pt idx="507">
                  <c:v>90.6454837608564</c:v>
                </c:pt>
                <c:pt idx="508">
                  <c:v>90.6307920363132</c:v>
                </c:pt>
                <c:pt idx="509">
                  <c:v>90.6164346508446</c:v>
                </c:pt>
                <c:pt idx="510">
                  <c:v>90.6024039996637</c:v>
                </c:pt>
                <c:pt idx="511">
                  <c:v>90.5886926507092</c:v>
                </c:pt>
                <c:pt idx="512">
                  <c:v>90.5752933407395</c:v>
                </c:pt>
                <c:pt idx="513">
                  <c:v>90.5621989715129</c:v>
                </c:pt>
                <c:pt idx="514">
                  <c:v>90.5494026060545</c:v>
                </c:pt>
                <c:pt idx="515">
                  <c:v>90.5368974650058</c:v>
                </c:pt>
                <c:pt idx="516">
                  <c:v>90.5246769230557</c:v>
                </c:pt>
                <c:pt idx="517">
                  <c:v>90.5127345054526</c:v>
                </c:pt>
                <c:pt idx="518">
                  <c:v>90.5010638845936</c:v>
                </c:pt>
                <c:pt idx="519">
                  <c:v>90.4896588766906</c:v>
                </c:pt>
                <c:pt idx="520">
                  <c:v>90.4785134385117</c:v>
                </c:pt>
                <c:pt idx="521">
                  <c:v>90.4676216641947</c:v>
                </c:pt>
                <c:pt idx="522">
                  <c:v>90.4569777821337</c:v>
                </c:pt>
                <c:pt idx="523">
                  <c:v>90.4465761519343</c:v>
                </c:pt>
                <c:pt idx="524">
                  <c:v>90.4364112614382</c:v>
                </c:pt>
                <c:pt idx="525">
                  <c:v>90.4264777238145</c:v>
                </c:pt>
                <c:pt idx="526">
                  <c:v>90.4167702747166</c:v>
                </c:pt>
                <c:pt idx="527">
                  <c:v>90.4072837695031</c:v>
                </c:pt>
                <c:pt idx="528">
                  <c:v>90.3980131805211</c:v>
                </c:pt>
                <c:pt idx="529">
                  <c:v>90.3889535944518</c:v>
                </c:pt>
                <c:pt idx="530">
                  <c:v>90.3801002097145</c:v>
                </c:pt>
                <c:pt idx="531">
                  <c:v>90.3714483339301</c:v>
                </c:pt>
                <c:pt idx="532">
                  <c:v>90.3629933814422</c:v>
                </c:pt>
                <c:pt idx="533">
                  <c:v>90.3547308708932</c:v>
                </c:pt>
                <c:pt idx="534">
                  <c:v>90.3466564228563</c:v>
                </c:pt>
                <c:pt idx="535">
                  <c:v>90.3387657575197</c:v>
                </c:pt>
                <c:pt idx="536">
                  <c:v>90.3310546924246</c:v>
                </c:pt>
                <c:pt idx="537">
                  <c:v>90.3235191402535</c:v>
                </c:pt>
                <c:pt idx="538">
                  <c:v>90.3161551066685</c:v>
                </c:pt>
                <c:pt idx="539">
                  <c:v>90.3089586881989</c:v>
                </c:pt>
                <c:pt idx="540">
                  <c:v>90.3019260701768</c:v>
                </c:pt>
                <c:pt idx="541">
                  <c:v>90.2950535247185</c:v>
                </c:pt>
              </c:numCache>
            </c:numRef>
          </c:yVal>
          <c:smooth val="1"/>
        </c:ser>
        <c:dLbls>
          <c:showLegendKey val="0"/>
          <c:showVal val="0"/>
          <c:showCatName val="0"/>
          <c:showSerName val="0"/>
          <c:showPercent val="0"/>
          <c:showBubbleSize val="0"/>
        </c:dLbls>
        <c:axId val="175568384"/>
        <c:axId val="175566848"/>
      </c:scatterChart>
      <c:valAx>
        <c:axId val="175558656"/>
        <c:scaling>
          <c:logBase val="10"/>
          <c:orientation val="minMax"/>
          <c:max val="22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560576"/>
        <c:crosses val="autoZero"/>
        <c:crossBetween val="midCat"/>
      </c:valAx>
      <c:valAx>
        <c:axId val="175560576"/>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Gain</a:t>
                </a:r>
                <a:r>
                  <a:rPr lang="en-US" baseline="0"/>
                  <a:t> (dB)</a:t>
                </a:r>
                <a:endParaRPr lang="en-US"/>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558656"/>
        <c:crosses val="autoZero"/>
        <c:crossBetween val="midCat"/>
        <c:majorUnit val="20"/>
        <c:minorUnit val="10"/>
      </c:valAx>
      <c:valAx>
        <c:axId val="175568384"/>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566848"/>
        <c:crosses val="autoZero"/>
        <c:crossBetween val="midCat"/>
      </c:valAx>
      <c:valAx>
        <c:axId val="175566848"/>
        <c:scaling>
          <c:orientation val="minMax"/>
          <c:max val="180"/>
          <c:min val="-180"/>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568384"/>
        <c:crosses val="max"/>
        <c:crossBetween val="midCat"/>
        <c:majorUnit val="90"/>
        <c:minorUnit val="45"/>
      </c:valAx>
    </c:plotArea>
    <c:legend>
      <c:legendPos val="r"/>
      <c:layout>
        <c:manualLayout>
          <c:xMode val="edge"/>
          <c:yMode val="edge"/>
          <c:x val="0.798805582095125"/>
          <c:y val="0.14321997959862"/>
          <c:w val="0.134850481555914"/>
          <c:h val="0.105286249699137"/>
        </c:manualLayout>
      </c:layout>
      <c:overlay val="1"/>
      <c:spPr>
        <a:solidFill>
          <a:schemeClr val="bg1"/>
        </a:solidFill>
      </c:spPr>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51ba628-39a9-4006-b0f5-1dd1637f385b}"/>
      </c:ext>
    </c:extLst>
  </c:chart>
  <c:txPr>
    <a:bodyPr/>
    <a:lstStyle/>
    <a:p>
      <a:pPr>
        <a:defRPr lang="pl-PL"/>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baseline="0"/>
              <a:t>CCM Control Loop Transfer Function</a:t>
            </a:r>
            <a:endParaRPr lang="en-US" baseline="0"/>
          </a:p>
        </c:rich>
      </c:tx>
      <c:layout/>
      <c:overlay val="0"/>
    </c:title>
    <c:autoTitleDeleted val="0"/>
    <c:plotArea>
      <c:layout/>
      <c:scatterChart>
        <c:scatterStyle val="smooth"/>
        <c:varyColors val="0"/>
        <c:ser>
          <c:idx val="0"/>
          <c:order val="0"/>
          <c:tx>
            <c:strRef>
              <c:f>"Gain (dB)"</c:f>
              <c:strCache>
                <c:ptCount val="1"/>
                <c:pt idx="0">
                  <c:v>Gain (dB)</c:v>
                </c:pt>
              </c:strCache>
            </c:strRef>
          </c:tx>
          <c:spPr>
            <a:ln w="38100" cap="rnd" cmpd="sng" algn="ctr">
              <a:solidFill>
                <a:srgbClr val="FF0000"/>
              </a:solidFill>
              <a:prstDash val="solid"/>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Loop_Modeling!$BG$19:$BG$560</c:f>
              <c:numCache>
                <c:formatCode>0.000</c:formatCode>
                <c:ptCount val="542"/>
                <c:pt idx="0">
                  <c:v>52.402787408511</c:v>
                </c:pt>
                <c:pt idx="1">
                  <c:v>52.2016092309354</c:v>
                </c:pt>
                <c:pt idx="2">
                  <c:v>52.0003760189477</c:v>
                </c:pt>
                <c:pt idx="3">
                  <c:v>51.7990852258814</c:v>
                </c:pt>
                <c:pt idx="4">
                  <c:v>51.59773418953</c:v>
                </c:pt>
                <c:pt idx="5">
                  <c:v>51.3963201271256</c:v>
                </c:pt>
                <c:pt idx="6">
                  <c:v>51.1948401301211</c:v>
                </c:pt>
                <c:pt idx="7">
                  <c:v>50.9932911587697</c:v>
                </c:pt>
                <c:pt idx="8">
                  <c:v>50.7916700364954</c:v>
                </c:pt>
                <c:pt idx="9">
                  <c:v>50.5899734440516</c:v>
                </c:pt>
                <c:pt idx="10">
                  <c:v>50.388197913459</c:v>
                </c:pt>
                <c:pt idx="11">
                  <c:v>50.1863398217203</c:v>
                </c:pt>
                <c:pt idx="12">
                  <c:v>49.9843953843067</c:v>
                </c:pt>
                <c:pt idx="13">
                  <c:v>49.7823606484081</c:v>
                </c:pt>
                <c:pt idx="14">
                  <c:v>49.5802314859483</c:v>
                </c:pt>
                <c:pt idx="15">
                  <c:v>49.3780035863553</c:v>
                </c:pt>
                <c:pt idx="16">
                  <c:v>49.1756724490878</c:v>
                </c:pt>
                <c:pt idx="17">
                  <c:v>48.9732333759115</c:v>
                </c:pt>
                <c:pt idx="18">
                  <c:v>48.7706814629247</c:v>
                </c:pt>
                <c:pt idx="19">
                  <c:v>48.5680115923304</c:v>
                </c:pt>
                <c:pt idx="20">
                  <c:v>48.3652184239545</c:v>
                </c:pt>
                <c:pt idx="21">
                  <c:v>48.1622963865089</c:v>
                </c:pt>
                <c:pt idx="22">
                  <c:v>47.9592396686013</c:v>
                </c:pt>
                <c:pt idx="23">
                  <c:v>47.7560422094923</c:v>
                </c:pt>
                <c:pt idx="24">
                  <c:v>47.5526976896046</c:v>
                </c:pt>
                <c:pt idx="25">
                  <c:v>47.3491995207865</c:v>
                </c:pt>
                <c:pt idx="26">
                  <c:v>47.1455408363374</c:v>
                </c:pt>
                <c:pt idx="27">
                  <c:v>46.9417144808024</c:v>
                </c:pt>
                <c:pt idx="28">
                  <c:v>46.7377129995438</c:v>
                </c:pt>
                <c:pt idx="29">
                  <c:v>46.5335286281037</c:v>
                </c:pt>
                <c:pt idx="30">
                  <c:v>46.3291532813688</c:v>
                </c:pt>
                <c:pt idx="31">
                  <c:v>46.1245785425549</c:v>
                </c:pt>
                <c:pt idx="32">
                  <c:v>45.919795652029</c:v>
                </c:pt>
                <c:pt idx="33">
                  <c:v>45.7147954959909</c:v>
                </c:pt>
                <c:pt idx="34">
                  <c:v>45.5095685950387</c:v>
                </c:pt>
                <c:pt idx="35">
                  <c:v>45.3041050926465</c:v>
                </c:pt>
                <c:pt idx="36">
                  <c:v>45.0983947435859</c:v>
                </c:pt>
                <c:pt idx="37">
                  <c:v>44.8924269023265</c:v>
                </c:pt>
                <c:pt idx="38">
                  <c:v>44.6861905114563</c:v>
                </c:pt>
                <c:pt idx="39">
                  <c:v>44.4796740901652</c:v>
                </c:pt>
                <c:pt idx="40">
                  <c:v>44.2728657228415</c:v>
                </c:pt>
                <c:pt idx="41">
                  <c:v>44.0657530478353</c:v>
                </c:pt>
                <c:pt idx="42">
                  <c:v>43.85832324645</c:v>
                </c:pt>
                <c:pt idx="43">
                  <c:v>43.6505630322257</c:v>
                </c:pt>
                <c:pt idx="44">
                  <c:v>43.4424586405876</c:v>
                </c:pt>
                <c:pt idx="45">
                  <c:v>43.233995818937</c:v>
                </c:pt>
                <c:pt idx="46">
                  <c:v>43.025159817271</c:v>
                </c:pt>
                <c:pt idx="47">
                  <c:v>42.8159353794214</c:v>
                </c:pt>
                <c:pt idx="48">
                  <c:v>42.6063067350133</c:v>
                </c:pt>
                <c:pt idx="49">
                  <c:v>42.3962575922499</c:v>
                </c:pt>
                <c:pt idx="50">
                  <c:v>42.1857711316391</c:v>
                </c:pt>
                <c:pt idx="51">
                  <c:v>41.9748300007822</c:v>
                </c:pt>
                <c:pt idx="52">
                  <c:v>41.7634163103588</c:v>
                </c:pt>
                <c:pt idx="53">
                  <c:v>41.5515116314441</c:v>
                </c:pt>
                <c:pt idx="54">
                  <c:v>41.3390969943066</c:v>
                </c:pt>
                <c:pt idx="55">
                  <c:v>41.1261528888415</c:v>
                </c:pt>
                <c:pt idx="56">
                  <c:v>40.912659266802</c:v>
                </c:pt>
                <c:pt idx="57">
                  <c:v>40.6985955459996</c:v>
                </c:pt>
                <c:pt idx="58">
                  <c:v>40.4839406166507</c:v>
                </c:pt>
                <c:pt idx="59">
                  <c:v>40.2686728500542</c:v>
                </c:pt>
                <c:pt idx="60">
                  <c:v>40.0527701097893</c:v>
                </c:pt>
                <c:pt idx="61">
                  <c:v>39.8362097656308</c:v>
                </c:pt>
                <c:pt idx="62">
                  <c:v>39.6189687103794</c:v>
                </c:pt>
                <c:pt idx="63">
                  <c:v>39.4010233798112</c:v>
                </c:pt>
                <c:pt idx="64">
                  <c:v>39.1823497759494</c:v>
                </c:pt>
                <c:pt idx="65">
                  <c:v>38.9629234938622</c:v>
                </c:pt>
                <c:pt idx="66">
                  <c:v>38.742719752191</c:v>
                </c:pt>
                <c:pt idx="67">
                  <c:v>38.521713427604</c:v>
                </c:pt>
                <c:pt idx="68">
                  <c:v>38.2998790933708</c:v>
                </c:pt>
                <c:pt idx="69">
                  <c:v>38.0771910622398</c:v>
                </c:pt>
                <c:pt idx="70">
                  <c:v>37.8536234337909</c:v>
                </c:pt>
                <c:pt idx="71">
                  <c:v>37.6291501464231</c:v>
                </c:pt>
                <c:pt idx="72">
                  <c:v>37.4037450341158</c:v>
                </c:pt>
                <c:pt idx="73">
                  <c:v>37.1773818880862</c:v>
                </c:pt>
                <c:pt idx="74">
                  <c:v>36.9500345234368</c:v>
                </c:pt>
                <c:pt idx="75">
                  <c:v>36.721676850864</c:v>
                </c:pt>
                <c:pt idx="76">
                  <c:v>36.492282953462</c:v>
                </c:pt>
                <c:pt idx="77">
                  <c:v>36.2618271686254</c:v>
                </c:pt>
                <c:pt idx="78">
                  <c:v>36.0302841750143</c:v>
                </c:pt>
                <c:pt idx="79">
                  <c:v>35.7976290844995</c:v>
                </c:pt>
                <c:pt idx="80">
                  <c:v>35.5638375389651</c:v>
                </c:pt>
                <c:pt idx="81">
                  <c:v>35.3288858117905</c:v>
                </c:pt>
                <c:pt idx="82">
                  <c:v>35.0927509137871</c:v>
                </c:pt>
                <c:pt idx="83">
                  <c:v>34.8554107033027</c:v>
                </c:pt>
                <c:pt idx="84">
                  <c:v>34.6168440001573</c:v>
                </c:pt>
                <c:pt idx="85">
                  <c:v>34.3770307030069</c:v>
                </c:pt>
                <c:pt idx="86">
                  <c:v>34.1359519096777</c:v>
                </c:pt>
                <c:pt idx="87">
                  <c:v>33.8935900399479</c:v>
                </c:pt>
                <c:pt idx="88">
                  <c:v>33.6499289601978</c:v>
                </c:pt>
                <c:pt idx="89">
                  <c:v>33.4049541092854</c:v>
                </c:pt>
                <c:pt idx="90">
                  <c:v>33.1586526249521</c:v>
                </c:pt>
                <c:pt idx="91">
                  <c:v>32.9110134700048</c:v>
                </c:pt>
                <c:pt idx="92">
                  <c:v>32.6620275574746</c:v>
                </c:pt>
                <c:pt idx="93">
                  <c:v>32.4116878739043</c:v>
                </c:pt>
                <c:pt idx="94">
                  <c:v>32.1599895998787</c:v>
                </c:pt>
                <c:pt idx="95">
                  <c:v>31.9069302268811</c:v>
                </c:pt>
                <c:pt idx="96">
                  <c:v>31.6525096695324</c:v>
                </c:pt>
                <c:pt idx="97">
                  <c:v>31.3967303722558</c:v>
                </c:pt>
                <c:pt idx="98">
                  <c:v>31.1395974094034</c:v>
                </c:pt>
                <c:pt idx="99">
                  <c:v>30.8811185778826</c:v>
                </c:pt>
                <c:pt idx="100">
                  <c:v>30.6213044813368</c:v>
                </c:pt>
                <c:pt idx="101">
                  <c:v>30.3601686049593</c:v>
                </c:pt>
                <c:pt idx="102">
                  <c:v>30.0977273800529</c:v>
                </c:pt>
                <c:pt idx="103">
                  <c:v>29.8340002374966</c:v>
                </c:pt>
                <c:pt idx="104">
                  <c:v>29.5690096493354</c:v>
                </c:pt>
                <c:pt idx="105">
                  <c:v>29.3027811577797</c:v>
                </c:pt>
                <c:pt idx="106">
                  <c:v>29.0353433909749</c:v>
                </c:pt>
                <c:pt idx="107">
                  <c:v>28.7667280649881</c:v>
                </c:pt>
                <c:pt idx="108">
                  <c:v>28.4969699715531</c:v>
                </c:pt>
                <c:pt idx="109">
                  <c:v>28.2261069512182</c:v>
                </c:pt>
                <c:pt idx="110">
                  <c:v>27.9541798516421</c:v>
                </c:pt>
                <c:pt idx="111">
                  <c:v>27.6812324708992</c:v>
                </c:pt>
                <c:pt idx="112">
                  <c:v>27.407311485771</c:v>
                </c:pt>
                <c:pt idx="113">
                  <c:v>27.1324663651112</c:v>
                </c:pt>
                <c:pt idx="114">
                  <c:v>26.8567492684979</c:v>
                </c:pt>
                <c:pt idx="115">
                  <c:v>26.5802149304928</c:v>
                </c:pt>
                <c:pt idx="116">
                  <c:v>26.302920530954</c:v>
                </c:pt>
                <c:pt idx="117">
                  <c:v>26.0249255519482</c:v>
                </c:pt>
                <c:pt idx="118">
                  <c:v>25.7462916219271</c:v>
                </c:pt>
                <c:pt idx="119">
                  <c:v>25.4670823479261</c:v>
                </c:pt>
                <c:pt idx="120">
                  <c:v>25.1873631366445</c:v>
                </c:pt>
                <c:pt idx="121">
                  <c:v>24.907201005353</c:v>
                </c:pt>
                <c:pt idx="122">
                  <c:v>24.6266643836571</c:v>
                </c:pt>
                <c:pt idx="123">
                  <c:v>24.3458229072149</c:v>
                </c:pt>
                <c:pt idx="124">
                  <c:v>24.0647472045744</c:v>
                </c:pt>
                <c:pt idx="125">
                  <c:v>23.7835086783475</c:v>
                </c:pt>
                <c:pt idx="126">
                  <c:v>23.5021792819849</c:v>
                </c:pt>
                <c:pt idx="127">
                  <c:v>23.2208312934478</c:v>
                </c:pt>
                <c:pt idx="128">
                  <c:v>22.939537087098</c:v>
                </c:pt>
                <c:pt idx="129">
                  <c:v>22.6583689051436</c:v>
                </c:pt>
                <c:pt idx="130">
                  <c:v>22.3773986299797</c:v>
                </c:pt>
                <c:pt idx="131">
                  <c:v>22.0966975587561</c:v>
                </c:pt>
                <c:pt idx="132">
                  <c:v>21.816336181489</c:v>
                </c:pt>
                <c:pt idx="133">
                  <c:v>21.5363839640047</c:v>
                </c:pt>
                <c:pt idx="134">
                  <c:v>21.2569091369686</c:v>
                </c:pt>
                <c:pt idx="135">
                  <c:v>20.9779784922002</c:v>
                </c:pt>
                <c:pt idx="136">
                  <c:v>20.6996571874247</c:v>
                </c:pt>
                <c:pt idx="137">
                  <c:v>20.42200856054</c:v>
                </c:pt>
                <c:pt idx="138">
                  <c:v>20.1450939544066</c:v>
                </c:pt>
                <c:pt idx="139">
                  <c:v>19.8689725530805</c:v>
                </c:pt>
                <c:pt idx="140">
                  <c:v>19.593701230325</c:v>
                </c:pt>
                <c:pt idx="141">
                  <c:v>19.3193344111321</c:v>
                </c:pt>
                <c:pt idx="142">
                  <c:v>19.0459239468854</c:v>
                </c:pt>
                <c:pt idx="143">
                  <c:v>18.7735190046869</c:v>
                </c:pt>
                <c:pt idx="144">
                  <c:v>18.5021659712557</c:v>
                </c:pt>
                <c:pt idx="145">
                  <c:v>18.231908371694</c:v>
                </c:pt>
                <c:pt idx="146">
                  <c:v>17.9627868032957</c:v>
                </c:pt>
                <c:pt idx="147">
                  <c:v>17.6948388844591</c:v>
                </c:pt>
                <c:pt idx="148">
                  <c:v>17.428099218647</c:v>
                </c:pt>
                <c:pt idx="149">
                  <c:v>17.1625993732232</c:v>
                </c:pt>
                <c:pt idx="150">
                  <c:v>16.8983678728874</c:v>
                </c:pt>
                <c:pt idx="151">
                  <c:v>16.6354302073231</c:v>
                </c:pt>
                <c:pt idx="152">
                  <c:v>16.3738088525732</c:v>
                </c:pt>
                <c:pt idx="153">
                  <c:v>16.1135233055719</c:v>
                </c:pt>
                <c:pt idx="154">
                  <c:v>15.8545901311712</c:v>
                </c:pt>
                <c:pt idx="155">
                  <c:v>15.5970230209319</c:v>
                </c:pt>
                <c:pt idx="156">
                  <c:v>15.3408328628821</c:v>
                </c:pt>
                <c:pt idx="157">
                  <c:v>15.0860278213934</c:v>
                </c:pt>
                <c:pt idx="158">
                  <c:v>14.8326134262805</c:v>
                </c:pt>
                <c:pt idx="159">
                  <c:v>14.5805926701993</c:v>
                </c:pt>
                <c:pt idx="160">
                  <c:v>14.3299661133972</c:v>
                </c:pt>
                <c:pt idx="161">
                  <c:v>14.0807319948552</c:v>
                </c:pt>
                <c:pt idx="162">
                  <c:v>13.8328863488672</c:v>
                </c:pt>
                <c:pt idx="163">
                  <c:v>13.5864231261027</c:v>
                </c:pt>
                <c:pt idx="164">
                  <c:v>13.3413343182281</c:v>
                </c:pt>
                <c:pt idx="165">
                  <c:v>13.0976100851768</c:v>
                </c:pt>
                <c:pt idx="166">
                  <c:v>12.8552388842036</c:v>
                </c:pt>
                <c:pt idx="167">
                  <c:v>12.6142075998922</c:v>
                </c:pt>
                <c:pt idx="168">
                  <c:v>12.3745016743364</c:v>
                </c:pt>
                <c:pt idx="169">
                  <c:v>12.1361052367632</c:v>
                </c:pt>
                <c:pt idx="170">
                  <c:v>11.8990012319242</c:v>
                </c:pt>
                <c:pt idx="171">
                  <c:v>11.6631715466396</c:v>
                </c:pt>
                <c:pt idx="172">
                  <c:v>11.428597133935</c:v>
                </c:pt>
                <c:pt idx="173">
                  <c:v>11.1952581342786</c:v>
                </c:pt>
                <c:pt idx="174">
                  <c:v>10.9631339934809</c:v>
                </c:pt>
                <c:pt idx="175">
                  <c:v>10.7322035768842</c:v>
                </c:pt>
                <c:pt idx="176">
                  <c:v>10.5024452795245</c:v>
                </c:pt>
                <c:pt idx="177">
                  <c:v>10.2738371320081</c:v>
                </c:pt>
                <c:pt idx="178">
                  <c:v>10.0463569018996</c:v>
                </c:pt>
                <c:pt idx="179">
                  <c:v>9.81998219046691</c:v>
                </c:pt>
                <c:pt idx="180">
                  <c:v>9.59469052468262</c:v>
                </c:pt>
                <c:pt idx="181">
                  <c:v>9.37045944442203</c:v>
                </c:pt>
                <c:pt idx="182">
                  <c:v>9.14726658484215</c:v>
                </c:pt>
                <c:pt idx="183">
                  <c:v>8.92508975396155</c:v>
                </c:pt>
                <c:pt idx="184">
                  <c:v>8.70390700549942</c:v>
                </c:pt>
                <c:pt idx="185">
                  <c:v>8.48369670705819</c:v>
                </c:pt>
                <c:pt idx="186">
                  <c:v>8.26443760376193</c:v>
                </c:pt>
                <c:pt idx="187">
                  <c:v>8.04610887748794</c:v>
                </c:pt>
                <c:pt idx="188">
                  <c:v>7.82869020184602</c:v>
                </c:pt>
                <c:pt idx="189">
                  <c:v>7.61216179307747</c:v>
                </c:pt>
                <c:pt idx="190">
                  <c:v>7.39650445705871</c:v>
                </c:pt>
                <c:pt idx="191">
                  <c:v>7.18169963260452</c:v>
                </c:pt>
                <c:pt idx="192">
                  <c:v>6.96772943127508</c:v>
                </c:pt>
                <c:pt idx="193">
                  <c:v>6.75457667389224</c:v>
                </c:pt>
                <c:pt idx="194">
                  <c:v>6.54222492397853</c:v>
                </c:pt>
                <c:pt idx="195">
                  <c:v>6.3306585183283</c:v>
                </c:pt>
                <c:pt idx="196">
                  <c:v>6.11986259492286</c:v>
                </c:pt>
                <c:pt idx="197">
                  <c:v>5.90982311839706</c:v>
                </c:pt>
                <c:pt idx="198">
                  <c:v>5.70052690325995</c:v>
                </c:pt>
                <c:pt idx="199">
                  <c:v>5.49196163507033</c:v>
                </c:pt>
                <c:pt idx="200">
                  <c:v>5.28411588975547</c:v>
                </c:pt>
                <c:pt idx="201">
                  <c:v>5.07697915126131</c:v>
                </c:pt>
                <c:pt idx="202">
                  <c:v>4.87054182770763</c:v>
                </c:pt>
                <c:pt idx="203">
                  <c:v>4.6647952662164</c:v>
                </c:pt>
                <c:pt idx="204">
                  <c:v>4.45973176657179</c:v>
                </c:pt>
                <c:pt idx="205">
                  <c:v>4.25534459385932</c:v>
                </c:pt>
                <c:pt idx="206">
                  <c:v>4.0516279902227</c:v>
                </c:pt>
                <c:pt idx="207">
                  <c:v>3.84857718586514</c:v>
                </c:pt>
                <c:pt idx="208">
                  <c:v>3.64618840941177</c:v>
                </c:pt>
                <c:pt idx="209">
                  <c:v>3.44445889773934</c:v>
                </c:pt>
                <c:pt idx="210">
                  <c:v>3.24338690536801</c:v>
                </c:pt>
                <c:pt idx="211">
                  <c:v>3.04297171349625</c:v>
                </c:pt>
                <c:pt idx="212">
                  <c:v>2.84321363875431</c:v>
                </c:pt>
                <c:pt idx="213">
                  <c:v>2.64411404173395</c:v>
                </c:pt>
                <c:pt idx="214">
                  <c:v>2.44567533534532</c:v>
                </c:pt>
                <c:pt idx="215">
                  <c:v>2.24790099303624</c:v>
                </c:pt>
                <c:pt idx="216">
                  <c:v>2.05079555690311</c:v>
                </c:pt>
                <c:pt idx="217">
                  <c:v>1.85436464570286</c:v>
                </c:pt>
                <c:pt idx="218">
                  <c:v>1.65861496277265</c:v>
                </c:pt>
                <c:pt idx="219">
                  <c:v>1.46355430384285</c:v>
                </c:pt>
                <c:pt idx="220">
                  <c:v>1.26919156472625</c:v>
                </c:pt>
                <c:pt idx="221">
                  <c:v>1.07553674884271</c:v>
                </c:pt>
                <c:pt idx="222">
                  <c:v>0.882600974539104</c:v>
                </c:pt>
                <c:pt idx="223">
                  <c:v>0.690396482139967</c:v>
                </c:pt>
                <c:pt idx="224">
                  <c:v>0.498936640657972</c:v>
                </c:pt>
                <c:pt idx="225">
                  <c:v>0.308235954079658</c:v>
                </c:pt>
                <c:pt idx="226">
                  <c:v>0.118310067127236</c:v>
                </c:pt>
                <c:pt idx="227">
                  <c:v>-0.0708242296167131</c:v>
                </c:pt>
                <c:pt idx="228">
                  <c:v>-0.259148995345746</c:v>
                </c:pt>
                <c:pt idx="229">
                  <c:v>-0.446645135566918</c:v>
                </c:pt>
                <c:pt idx="230">
                  <c:v>-0.633292399693331</c:v>
                </c:pt>
                <c:pt idx="231">
                  <c:v>-0.819069379856529</c:v>
                </c:pt>
                <c:pt idx="232">
                  <c:v>-1.00395351112224</c:v>
                </c:pt>
                <c:pt idx="233">
                  <c:v>-1.18792107330217</c:v>
                </c:pt>
                <c:pt idx="234">
                  <c:v>-1.37094719457053</c:v>
                </c:pt>
                <c:pt idx="235">
                  <c:v>-1.55300585710781</c:v>
                </c:pt>
                <c:pt idx="236">
                  <c:v>-1.73406990500576</c:v>
                </c:pt>
                <c:pt idx="237">
                  <c:v>-1.91411105468083</c:v>
                </c:pt>
                <c:pt idx="238">
                  <c:v>-2.0930999080556</c:v>
                </c:pt>
                <c:pt idx="239">
                  <c:v>-2.27100596877812</c:v>
                </c:pt>
                <c:pt idx="240">
                  <c:v>-2.44779766175976</c:v>
                </c:pt>
                <c:pt idx="241">
                  <c:v>-2.62344235632003</c:v>
                </c:pt>
                <c:pt idx="242">
                  <c:v>-2.79790639323563</c:v>
                </c:pt>
                <c:pt idx="243">
                  <c:v>-2.97115511599522</c:v>
                </c:pt>
                <c:pt idx="244">
                  <c:v>-3.14315290656667</c:v>
                </c:pt>
                <c:pt idx="245">
                  <c:v>-3.31386322598346</c:v>
                </c:pt>
                <c:pt idx="246">
                  <c:v>-3.48324866005748</c:v>
                </c:pt>
                <c:pt idx="247">
                  <c:v>-3.65127097052155</c:v>
                </c:pt>
                <c:pt idx="248">
                  <c:v>-3.81789115189617</c:v>
                </c:pt>
                <c:pt idx="249">
                  <c:v>-3.98306949436858</c:v>
                </c:pt>
                <c:pt idx="250">
                  <c:v>-4.14676565295446</c:v>
                </c:pt>
                <c:pt idx="251">
                  <c:v>-4.30893872319769</c:v>
                </c:pt>
                <c:pt idx="252">
                  <c:v>-4.46954732364015</c:v>
                </c:pt>
                <c:pt idx="253">
                  <c:v>-4.62854968526668</c:v>
                </c:pt>
                <c:pt idx="254">
                  <c:v>-4.78590374810173</c:v>
                </c:pt>
                <c:pt idx="255">
                  <c:v>-4.94156726509357</c:v>
                </c:pt>
                <c:pt idx="256">
                  <c:v>-5.09549791338702</c:v>
                </c:pt>
                <c:pt idx="257">
                  <c:v>-5.24765341303342</c:v>
                </c:pt>
                <c:pt idx="258">
                  <c:v>-5.39799165314067</c:v>
                </c:pt>
                <c:pt idx="259">
                  <c:v>-5.54647082540695</c:v>
                </c:pt>
                <c:pt idx="260">
                  <c:v>-5.69304956492256</c:v>
                </c:pt>
                <c:pt idx="261">
                  <c:v>-5.83768709805844</c:v>
                </c:pt>
                <c:pt idx="262">
                  <c:v>-5.98034339718978</c:v>
                </c:pt>
                <c:pt idx="263">
                  <c:v>-6.12097934193179</c:v>
                </c:pt>
                <c:pt idx="264">
                  <c:v>-6.2595568864851</c:v>
                </c:pt>
                <c:pt idx="265">
                  <c:v>-6.39603923261186</c:v>
                </c:pt>
                <c:pt idx="266">
                  <c:v>-6.53039100768057</c:v>
                </c:pt>
                <c:pt idx="267">
                  <c:v>-6.66257844713742</c:v>
                </c:pt>
                <c:pt idx="268">
                  <c:v>-6.79256958067733</c:v>
                </c:pt>
                <c:pt idx="269">
                  <c:v>-6.92033442130947</c:v>
                </c:pt>
                <c:pt idx="270">
                  <c:v>-7.04584515642996</c:v>
                </c:pt>
                <c:pt idx="271">
                  <c:v>-7.1690763399417</c:v>
                </c:pt>
                <c:pt idx="272">
                  <c:v>-7.29000508438611</c:v>
                </c:pt>
                <c:pt idx="273">
                  <c:v>-7.40861125198874</c:v>
                </c:pt>
                <c:pt idx="274">
                  <c:v>-7.52487764345909</c:v>
                </c:pt>
                <c:pt idx="275">
                  <c:v>-7.63879018333527</c:v>
                </c:pt>
                <c:pt idx="276">
                  <c:v>-7.75033810062191</c:v>
                </c:pt>
                <c:pt idx="277">
                  <c:v>-7.85951410343652</c:v>
                </c:pt>
                <c:pt idx="278">
                  <c:v>-7.96631454636282</c:v>
                </c:pt>
                <c:pt idx="279">
                  <c:v>-8.07073958919517</c:v>
                </c:pt>
                <c:pt idx="280">
                  <c:v>-8.1727933457704</c:v>
                </c:pt>
                <c:pt idx="281">
                  <c:v>-8.2724840215945</c:v>
                </c:pt>
                <c:pt idx="282">
                  <c:v>-8.36982403900904</c:v>
                </c:pt>
                <c:pt idx="283">
                  <c:v>-8.46483014868555</c:v>
                </c:pt>
                <c:pt idx="284">
                  <c:v>-8.55752352629793</c:v>
                </c:pt>
                <c:pt idx="285">
                  <c:v>-8.64792985329762</c:v>
                </c:pt>
                <c:pt idx="286">
                  <c:v>-8.73607938080359</c:v>
                </c:pt>
                <c:pt idx="287">
                  <c:v>-8.82200697572244</c:v>
                </c:pt>
                <c:pt idx="288">
                  <c:v>-8.90575214832588</c:v>
                </c:pt>
                <c:pt idx="289">
                  <c:v>-8.98735906063805</c:v>
                </c:pt>
                <c:pt idx="290">
                  <c:v>-9.06687651512075</c:v>
                </c:pt>
                <c:pt idx="291">
                  <c:v>-9.14435792328607</c:v>
                </c:pt>
                <c:pt idx="292">
                  <c:v>-9.21986125401909</c:v>
                </c:pt>
                <c:pt idx="293">
                  <c:v>-9.29344896154433</c:v>
                </c:pt>
                <c:pt idx="294">
                  <c:v>-9.36518789313132</c:v>
                </c:pt>
                <c:pt idx="295">
                  <c:v>-9.43514917679547</c:v>
                </c:pt>
                <c:pt idx="296">
                  <c:v>-9.50340808940343</c:v>
                </c:pt>
                <c:pt idx="297">
                  <c:v>-9.57004390575703</c:v>
                </c:pt>
                <c:pt idx="298">
                  <c:v>-9.63513972937274</c:v>
                </c:pt>
                <c:pt idx="299">
                  <c:v>-9.69878230582342</c:v>
                </c:pt>
                <c:pt idx="300">
                  <c:v>-9.761061819644</c:v>
                </c:pt>
                <c:pt idx="301">
                  <c:v>-9.82207167592293</c:v>
                </c:pt>
                <c:pt idx="302">
                  <c:v>-9.88190826781965</c:v>
                </c:pt>
                <c:pt idx="303">
                  <c:v>-9.94067073134363</c:v>
                </c:pt>
                <c:pt idx="304">
                  <c:v>-9.9984606888121</c:v>
                </c:pt>
                <c:pt idx="305">
                  <c:v>-10.0553819824763</c:v>
                </c:pt>
                <c:pt idx="306">
                  <c:v>-10.1115403998489</c:v>
                </c:pt>
                <c:pt idx="307">
                  <c:v>-10.1670433923062</c:v>
                </c:pt>
                <c:pt idx="308">
                  <c:v>-10.2219997885494</c:v>
                </c:pt>
                <c:pt idx="309">
                  <c:v>-10.2765195045098</c:v>
                </c:pt>
                <c:pt idx="310">
                  <c:v>-10.3307132512636</c:v>
                </c:pt>
                <c:pt idx="311">
                  <c:v>-10.3846922424937</c:v>
                </c:pt>
                <c:pt idx="312">
                  <c:v>-10.4385679029828</c:v>
                </c:pt>
                <c:pt idx="313">
                  <c:v>-10.4924515795607</c:v>
                </c:pt>
                <c:pt idx="314">
                  <c:v>-10.5464542558643</c:v>
                </c:pt>
                <c:pt idx="315">
                  <c:v>-10.6006862721768</c:v>
                </c:pt>
                <c:pt idx="316">
                  <c:v>-10.6552570515306</c:v>
                </c:pt>
                <c:pt idx="317">
                  <c:v>-10.7102748331611</c:v>
                </c:pt>
                <c:pt idx="318">
                  <c:v>-10.7658464142939</c:v>
                </c:pt>
                <c:pt idx="319">
                  <c:v>-10.8220769011587</c:v>
                </c:pt>
                <c:pt idx="320">
                  <c:v>-10.8790694700106</c:v>
                </c:pt>
                <c:pt idx="321">
                  <c:v>-10.9369251388487</c:v>
                </c:pt>
                <c:pt idx="322">
                  <c:v>-10.9957425504212</c:v>
                </c:pt>
                <c:pt idx="323">
                  <c:v>-11.0556177670205</c:v>
                </c:pt>
                <c:pt idx="324">
                  <c:v>-11.116644077482</c:v>
                </c:pt>
                <c:pt idx="325">
                  <c:v>-11.1789118167252</c:v>
                </c:pt>
                <c:pt idx="326">
                  <c:v>-11.2425081981031</c:v>
                </c:pt>
                <c:pt idx="327">
                  <c:v>-11.3075171587619</c:v>
                </c:pt>
                <c:pt idx="328">
                  <c:v>-11.3740192181571</c:v>
                </c:pt>
                <c:pt idx="329">
                  <c:v>-11.442091349822</c:v>
                </c:pt>
                <c:pt idx="330">
                  <c:v>-11.5118068664401</c:v>
                </c:pt>
                <c:pt idx="331">
                  <c:v>-11.5832353182364</c:v>
                </c:pt>
                <c:pt idx="332">
                  <c:v>-11.6564424046731</c:v>
                </c:pt>
                <c:pt idx="333">
                  <c:v>-11.7314898993969</c:v>
                </c:pt>
                <c:pt idx="334">
                  <c:v>-11.8084355883706</c:v>
                </c:pt>
                <c:pt idx="335">
                  <c:v>-11.8873332210885</c:v>
                </c:pt>
                <c:pt idx="336">
                  <c:v>-11.9682324747559</c:v>
                </c:pt>
                <c:pt idx="337">
                  <c:v>-12.0511789312869</c:v>
                </c:pt>
                <c:pt idx="338">
                  <c:v>-12.1362140669516</c:v>
                </c:pt>
                <c:pt idx="339">
                  <c:v>-12.2233752544756</c:v>
                </c:pt>
                <c:pt idx="340">
                  <c:v>-12.3126957773659</c:v>
                </c:pt>
                <c:pt idx="341">
                  <c:v>-12.4042048562057</c:v>
                </c:pt>
                <c:pt idx="342">
                  <c:v>-12.497927686628</c:v>
                </c:pt>
                <c:pt idx="343">
                  <c:v>-12.5938854886379</c:v>
                </c:pt>
                <c:pt idx="344">
                  <c:v>-12.6920955669159</c:v>
                </c:pt>
                <c:pt idx="345">
                  <c:v>-12.7925713816939</c:v>
                </c:pt>
                <c:pt idx="346">
                  <c:v>-12.8953226297509</c:v>
                </c:pt>
                <c:pt idx="347">
                  <c:v>-13.0003553350327</c:v>
                </c:pt>
                <c:pt idx="348">
                  <c:v>-13.1076719483591</c:v>
                </c:pt>
                <c:pt idx="349">
                  <c:v>-13.217271455634</c:v>
                </c:pt>
                <c:pt idx="350">
                  <c:v>-13.3291494939416</c:v>
                </c:pt>
                <c:pt idx="351">
                  <c:v>-13.4432984748658</c:v>
                </c:pt>
                <c:pt idx="352">
                  <c:v>-13.5597077143449</c:v>
                </c:pt>
                <c:pt idx="353">
                  <c:v>-13.6783635683357</c:v>
                </c:pt>
                <c:pt idx="354">
                  <c:v>-13.7992495735461</c:v>
                </c:pt>
                <c:pt idx="355">
                  <c:v>-13.9223465924675</c:v>
                </c:pt>
                <c:pt idx="356">
                  <c:v>-14.0476329619369</c:v>
                </c:pt>
                <c:pt idx="357">
                  <c:v>-14.1750846444444</c:v>
                </c:pt>
                <c:pt idx="358">
                  <c:v>-14.3046753814075</c:v>
                </c:pt>
                <c:pt idx="359">
                  <c:v>-14.4363768476434</c:v>
                </c:pt>
                <c:pt idx="360">
                  <c:v>-14.570158806281</c:v>
                </c:pt>
                <c:pt idx="361">
                  <c:v>-14.7059892633801</c:v>
                </c:pt>
                <c:pt idx="362">
                  <c:v>-14.8438346215504</c:v>
                </c:pt>
                <c:pt idx="363">
                  <c:v>-14.9836598318966</c:v>
                </c:pt>
                <c:pt idx="364">
                  <c:v>-15.1254285436545</c:v>
                </c:pt>
                <c:pt idx="365">
                  <c:v>-15.2691032509238</c:v>
                </c:pt>
                <c:pt idx="366">
                  <c:v>-15.4146454359519</c:v>
                </c:pt>
                <c:pt idx="367">
                  <c:v>-15.5620157084691</c:v>
                </c:pt>
                <c:pt idx="368">
                  <c:v>-15.7111739406284</c:v>
                </c:pt>
                <c:pt idx="369">
                  <c:v>-15.8620793971541</c:v>
                </c:pt>
                <c:pt idx="370">
                  <c:v>-16.0146908603604</c:v>
                </c:pt>
                <c:pt idx="371">
                  <c:v>-16.1689667497461</c:v>
                </c:pt>
                <c:pt idx="372">
                  <c:v>-16.3248652359339</c:v>
                </c:pt>
                <c:pt idx="373">
                  <c:v>-16.4823443487664</c:v>
                </c:pt>
                <c:pt idx="374">
                  <c:v>-16.6413620794244</c:v>
                </c:pt>
                <c:pt idx="375">
                  <c:v>-16.8018764764767</c:v>
                </c:pt>
                <c:pt idx="376">
                  <c:v>-16.963845735821</c:v>
                </c:pt>
                <c:pt idx="377">
                  <c:v>-17.1272282845095</c:v>
                </c:pt>
                <c:pt idx="378">
                  <c:v>-17.2919828584987</c:v>
                </c:pt>
                <c:pt idx="379">
                  <c:v>-17.458068574393</c:v>
                </c:pt>
                <c:pt idx="380">
                  <c:v>-17.625444995286</c:v>
                </c:pt>
                <c:pt idx="381">
                  <c:v>-17.794072190831</c:v>
                </c:pt>
                <c:pt idx="382">
                  <c:v>-17.9639107916979</c:v>
                </c:pt>
                <c:pt idx="383">
                  <c:v>-18.1349220385924</c:v>
                </c:pt>
                <c:pt idx="384">
                  <c:v>-18.3070678260374</c:v>
                </c:pt>
                <c:pt idx="385">
                  <c:v>-18.4803107411238</c:v>
                </c:pt>
                <c:pt idx="386">
                  <c:v>-18.6546140974568</c:v>
                </c:pt>
                <c:pt idx="387">
                  <c:v>-18.8299419645297</c:v>
                </c:pt>
                <c:pt idx="388">
                  <c:v>-19.006259192761</c:v>
                </c:pt>
                <c:pt idx="389">
                  <c:v>-19.1835314344437</c:v>
                </c:pt>
                <c:pt idx="390">
                  <c:v>-19.3617251608455</c:v>
                </c:pt>
                <c:pt idx="391">
                  <c:v>-19.5408076757088</c:v>
                </c:pt>
                <c:pt idx="392">
                  <c:v>-19.7207471253905</c:v>
                </c:pt>
                <c:pt idx="393">
                  <c:v>-19.9015125058835</c:v>
                </c:pt>
                <c:pt idx="394">
                  <c:v>-20.0830736669517</c:v>
                </c:pt>
                <c:pt idx="395">
                  <c:v>-20.2654013136094</c:v>
                </c:pt>
                <c:pt idx="396">
                  <c:v>-20.4484670051639</c:v>
                </c:pt>
                <c:pt idx="397">
                  <c:v>-20.6322431520371</c:v>
                </c:pt>
                <c:pt idx="398">
                  <c:v>-20.8167030105705</c:v>
                </c:pt>
                <c:pt idx="399">
                  <c:v>-21.0018206760088</c:v>
                </c:pt>
                <c:pt idx="400">
                  <c:v>-21.187571073851</c:v>
                </c:pt>
                <c:pt idx="401">
                  <c:v>-21.3739299497446</c:v>
                </c:pt>
                <c:pt idx="402">
                  <c:v>-21.5608738580904</c:v>
                </c:pt>
                <c:pt idx="403">
                  <c:v>-21.7483801495187</c:v>
                </c:pt>
                <c:pt idx="404">
                  <c:v>-21.9364269573812</c:v>
                </c:pt>
                <c:pt idx="405">
                  <c:v>-22.1249931834</c:v>
                </c:pt>
                <c:pt idx="406">
                  <c:v>-22.3140584826032</c:v>
                </c:pt>
                <c:pt idx="407">
                  <c:v>-22.5036032476654</c:v>
                </c:pt>
                <c:pt idx="408">
                  <c:v>-22.6936085927659</c:v>
                </c:pt>
                <c:pt idx="409">
                  <c:v>-22.8840563370692</c:v>
                </c:pt>
                <c:pt idx="410">
                  <c:v>-23.074928987919</c:v>
                </c:pt>
                <c:pt idx="411">
                  <c:v>-23.2662097238349</c:v>
                </c:pt>
                <c:pt idx="412">
                  <c:v>-23.4578823773925</c:v>
                </c:pt>
                <c:pt idx="413">
                  <c:v>-23.649931418056</c:v>
                </c:pt>
                <c:pt idx="414">
                  <c:v>-23.8423419350321</c:v>
                </c:pt>
                <c:pt idx="415">
                  <c:v>-24.0350996202038</c:v>
                </c:pt>
                <c:pt idx="416">
                  <c:v>-24.2281907511973</c:v>
                </c:pt>
                <c:pt idx="417">
                  <c:v>-24.4216021746315</c:v>
                </c:pt>
                <c:pt idx="418">
                  <c:v>-24.6153212895906</c:v>
                </c:pt>
                <c:pt idx="419">
                  <c:v>-24.8093360313622</c:v>
                </c:pt>
                <c:pt idx="420">
                  <c:v>-25.0036348554704</c:v>
                </c:pt>
                <c:pt idx="421">
                  <c:v>-25.1982067220367</c:v>
                </c:pt>
                <c:pt idx="422">
                  <c:v>-25.3930410804941</c:v>
                </c:pt>
                <c:pt idx="423">
                  <c:v>-25.5881278546753</c:v>
                </c:pt>
                <c:pt idx="424">
                  <c:v>-25.7834574282979</c:v>
                </c:pt>
                <c:pt idx="425">
                  <c:v>-25.9790206308595</c:v>
                </c:pt>
                <c:pt idx="426">
                  <c:v>-26.1748087239596</c:v>
                </c:pt>
                <c:pt idx="427">
                  <c:v>-26.3708133880581</c:v>
                </c:pt>
                <c:pt idx="428">
                  <c:v>-26.5670267096807</c:v>
                </c:pt>
                <c:pt idx="429">
                  <c:v>-26.7634411690792</c:v>
                </c:pt>
                <c:pt idx="430">
                  <c:v>-26.9600496283514</c:v>
                </c:pt>
                <c:pt idx="431">
                  <c:v>-27.1568453200254</c:v>
                </c:pt>
                <c:pt idx="432">
                  <c:v>-27.3538218361137</c:v>
                </c:pt>
                <c:pt idx="433">
                  <c:v>-27.5509731176341</c:v>
                </c:pt>
                <c:pt idx="434">
                  <c:v>-27.7482934446037</c:v>
                </c:pt>
                <c:pt idx="435">
                  <c:v>-27.9457774265013</c:v>
                </c:pt>
                <c:pt idx="436">
                  <c:v>-28.1434199932011</c:v>
                </c:pt>
                <c:pt idx="437">
                  <c:v>-28.3412163863742</c:v>
                </c:pt>
                <c:pt idx="438">
                  <c:v>-28.5391621513565</c:v>
                </c:pt>
                <c:pt idx="439">
                  <c:v>-28.7372531294812</c:v>
                </c:pt>
                <c:pt idx="440">
                  <c:v>-28.9354854508722</c:v>
                </c:pt>
                <c:pt idx="441">
                  <c:v>-29.1338555276968</c:v>
                </c:pt>
                <c:pt idx="442">
                  <c:v>-29.3323600478737</c:v>
                </c:pt>
                <c:pt idx="443">
                  <c:v>-29.5309959692339</c:v>
                </c:pt>
                <c:pt idx="444">
                  <c:v>-29.7297605141296</c:v>
                </c:pt>
                <c:pt idx="445">
                  <c:v>-29.9286511644913</c:v>
                </c:pt>
                <c:pt idx="446">
                  <c:v>-30.1276656573259</c:v>
                </c:pt>
                <c:pt idx="447">
                  <c:v>-30.3268019806562</c:v>
                </c:pt>
                <c:pt idx="448">
                  <c:v>-30.5260583698976</c:v>
                </c:pt>
                <c:pt idx="449">
                  <c:v>-30.7254333046686</c:v>
                </c:pt>
                <c:pt idx="450">
                  <c:v>-30.9249255060344</c:v>
                </c:pt>
                <c:pt idx="451">
                  <c:v>-31.1245339341806</c:v>
                </c:pt>
                <c:pt idx="452">
                  <c:v>-31.3242577865141</c:v>
                </c:pt>
                <c:pt idx="453">
                  <c:v>-31.524096496192</c:v>
                </c:pt>
                <c:pt idx="454">
                  <c:v>-31.7240497310753</c:v>
                </c:pt>
                <c:pt idx="455">
                  <c:v>-31.9241173931068</c:v>
                </c:pt>
                <c:pt idx="456">
                  <c:v>-32.1242996181128</c:v>
                </c:pt>
                <c:pt idx="457">
                  <c:v>-32.3245967760283</c:v>
                </c:pt>
                <c:pt idx="458">
                  <c:v>-32.5250094715455</c:v>
                </c:pt>
                <c:pt idx="459">
                  <c:v>-32.7255385451858</c:v>
                </c:pt>
                <c:pt idx="460">
                  <c:v>-32.9261850747972</c:v>
                </c:pt>
                <c:pt idx="461">
                  <c:v>-33.1269503774745</c:v>
                </c:pt>
                <c:pt idx="462">
                  <c:v>-33.3278360119084</c:v>
                </c:pt>
                <c:pt idx="463">
                  <c:v>-33.528843781162</c:v>
                </c:pt>
                <c:pt idx="464">
                  <c:v>-33.7299757358745</c:v>
                </c:pt>
                <c:pt idx="465">
                  <c:v>-33.9312341779011</c:v>
                </c:pt>
                <c:pt idx="466">
                  <c:v>-34.1326216643816</c:v>
                </c:pt>
                <c:pt idx="467">
                  <c:v>-34.3341410122488</c:v>
                </c:pt>
                <c:pt idx="468">
                  <c:v>-34.5357953031732</c:v>
                </c:pt>
                <c:pt idx="469">
                  <c:v>-34.7375878889501</c:v>
                </c:pt>
                <c:pt idx="470">
                  <c:v>-34.9395223973287</c:v>
                </c:pt>
                <c:pt idx="471">
                  <c:v>-35.1416027382887</c:v>
                </c:pt>
                <c:pt idx="472">
                  <c:v>-35.343833110764</c:v>
                </c:pt>
                <c:pt idx="473">
                  <c:v>-35.5462180098176</c:v>
                </c:pt>
                <c:pt idx="474">
                  <c:v>-35.7487622342703</c:v>
                </c:pt>
                <c:pt idx="475">
                  <c:v>-35.9514708947812</c:v>
                </c:pt>
                <c:pt idx="476">
                  <c:v>-36.1543494223865</c:v>
                </c:pt>
                <c:pt idx="477">
                  <c:v>-36.3574035774939</c:v>
                </c:pt>
                <c:pt idx="478">
                  <c:v>-36.5606394593328</c:v>
                </c:pt>
                <c:pt idx="479">
                  <c:v>-36.7640635158632</c:v>
                </c:pt>
                <c:pt idx="480">
                  <c:v>-36.9676825541368</c:v>
                </c:pt>
                <c:pt idx="481">
                  <c:v>-37.1715037511127</c:v>
                </c:pt>
                <c:pt idx="482">
                  <c:v>-37.3755346649221</c:v>
                </c:pt>
                <c:pt idx="483">
                  <c:v>-37.5797832465761</c:v>
                </c:pt>
                <c:pt idx="484">
                  <c:v>-37.7842578521141</c:v>
                </c:pt>
                <c:pt idx="485">
                  <c:v>-37.9889672551808</c:v>
                </c:pt>
                <c:pt idx="486">
                  <c:v>-38.1939206600251</c:v>
                </c:pt>
                <c:pt idx="487">
                  <c:v>-38.3991277149088</c:v>
                </c:pt>
                <c:pt idx="488">
                  <c:v>-38.6045985259095</c:v>
                </c:pt>
                <c:pt idx="489">
                  <c:v>-38.8103436711037</c:v>
                </c:pt>
                <c:pt idx="490">
                  <c:v>-39.0163742151091</c:v>
                </c:pt>
                <c:pt idx="491">
                  <c:v>-39.2227017239655</c:v>
                </c:pt>
                <c:pt idx="492">
                  <c:v>-39.4293382803278</c:v>
                </c:pt>
                <c:pt idx="493">
                  <c:v>-39.6362964989427</c:v>
                </c:pt>
                <c:pt idx="494">
                  <c:v>-39.8435895423762</c:v>
                </c:pt>
                <c:pt idx="495">
                  <c:v>-40.0512311369551</c:v>
                </c:pt>
                <c:pt idx="496">
                  <c:v>-40.2592355888818</c:v>
                </c:pt>
                <c:pt idx="497">
                  <c:v>-40.4676178004737</c:v>
                </c:pt>
                <c:pt idx="498">
                  <c:v>-40.6763932864795</c:v>
                </c:pt>
                <c:pt idx="499">
                  <c:v>-40.885578190412</c:v>
                </c:pt>
                <c:pt idx="500">
                  <c:v>-41.0951893008381</c:v>
                </c:pt>
                <c:pt idx="501">
                  <c:v>-41.3052440675531</c:v>
                </c:pt>
                <c:pt idx="502">
                  <c:v>-41.5157606175685</c:v>
                </c:pt>
                <c:pt idx="503">
                  <c:v>-41.7267577708271</c:v>
                </c:pt>
                <c:pt idx="504">
                  <c:v>-41.9382550555582</c:v>
                </c:pt>
                <c:pt idx="505">
                  <c:v>-42.1502727231763</c:v>
                </c:pt>
                <c:pt idx="506">
                  <c:v>-42.3628317626159</c:v>
                </c:pt>
                <c:pt idx="507">
                  <c:v>-42.5759539139949</c:v>
                </c:pt>
                <c:pt idx="508">
                  <c:v>-42.7896616814797</c:v>
                </c:pt>
                <c:pt idx="509">
                  <c:v>-43.0039783452301</c:v>
                </c:pt>
                <c:pt idx="510">
                  <c:v>-43.2189279722787</c:v>
                </c:pt>
                <c:pt idx="511">
                  <c:v>-43.4345354262062</c:v>
                </c:pt>
                <c:pt idx="512">
                  <c:v>-43.6508263754555</c:v>
                </c:pt>
                <c:pt idx="513">
                  <c:v>-43.8678273001203</c:v>
                </c:pt>
                <c:pt idx="514">
                  <c:v>-44.085565497042</c:v>
                </c:pt>
                <c:pt idx="515">
                  <c:v>-44.3040690830347</c:v>
                </c:pt>
                <c:pt idx="516">
                  <c:v>-44.5233669960539</c:v>
                </c:pt>
                <c:pt idx="517">
                  <c:v>-44.7434889941191</c:v>
                </c:pt>
                <c:pt idx="518">
                  <c:v>-44.9644656517904</c:v>
                </c:pt>
                <c:pt idx="519">
                  <c:v>-45.186328354002</c:v>
                </c:pt>
                <c:pt idx="520">
                  <c:v>-45.4091092870446</c:v>
                </c:pt>
                <c:pt idx="521">
                  <c:v>-45.6328414264909</c:v>
                </c:pt>
                <c:pt idx="522">
                  <c:v>-45.8575585218567</c:v>
                </c:pt>
                <c:pt idx="523">
                  <c:v>-46.0832950777911</c:v>
                </c:pt>
                <c:pt idx="524">
                  <c:v>-46.310086331593</c:v>
                </c:pt>
                <c:pt idx="525">
                  <c:v>-46.5379682268556</c:v>
                </c:pt>
                <c:pt idx="526">
                  <c:v>-46.7669773830488</c:v>
                </c:pt>
                <c:pt idx="527">
                  <c:v>-46.99715106086</c:v>
                </c:pt>
                <c:pt idx="528">
                  <c:v>-47.2285271231254</c:v>
                </c:pt>
                <c:pt idx="529">
                  <c:v>-47.4611439912036</c:v>
                </c:pt>
                <c:pt idx="530">
                  <c:v>-47.6950405966564</c:v>
                </c:pt>
                <c:pt idx="531">
                  <c:v>-47.93025632813</c:v>
                </c:pt>
                <c:pt idx="532">
                  <c:v>-48.1668309733549</c:v>
                </c:pt>
                <c:pt idx="533">
                  <c:v>-48.4048046562054</c:v>
                </c:pt>
                <c:pt idx="534">
                  <c:v>-48.644217768803</c:v>
                </c:pt>
                <c:pt idx="535">
                  <c:v>-48.8851108986751</c:v>
                </c:pt>
                <c:pt idx="536">
                  <c:v>-49.1275247510231</c:v>
                </c:pt>
                <c:pt idx="537">
                  <c:v>-49.3715000661981</c:v>
                </c:pt>
                <c:pt idx="538">
                  <c:v>-49.617077532525</c:v>
                </c:pt>
                <c:pt idx="539">
                  <c:v>-49.8642976946638</c:v>
                </c:pt>
                <c:pt idx="540">
                  <c:v>-50.1132008577477</c:v>
                </c:pt>
                <c:pt idx="541">
                  <c:v>-50.3638269875915</c:v>
                </c:pt>
              </c:numCache>
            </c:numRef>
          </c:yVal>
          <c:smooth val="1"/>
        </c:ser>
        <c:dLbls>
          <c:showLegendKey val="0"/>
          <c:showVal val="0"/>
          <c:showCatName val="0"/>
          <c:showSerName val="0"/>
          <c:showPercent val="0"/>
          <c:showBubbleSize val="0"/>
        </c:dLbls>
        <c:axId val="175885696"/>
        <c:axId val="175887872"/>
      </c:scatterChart>
      <c:scatterChart>
        <c:scatterStyle val="smooth"/>
        <c:varyColors val="0"/>
        <c:ser>
          <c:idx val="1"/>
          <c:order val="1"/>
          <c:tx>
            <c:strRef>
              <c:f>"Phase (deg)"</c:f>
              <c:strCache>
                <c:ptCount val="1"/>
                <c:pt idx="0">
                  <c:v>Phase (deg)</c:v>
                </c:pt>
              </c:strCache>
            </c:strRef>
          </c:tx>
          <c:spPr>
            <a:ln w="38100" cap="rnd" cmpd="sng" algn="ctr">
              <a:solidFill>
                <a:schemeClr val="tx1">
                  <a:lumMod val="95000"/>
                  <a:lumOff val="5000"/>
                </a:schemeClr>
              </a:solidFill>
              <a:prstDash val="sysDash"/>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Loop_Modeling!$BH$19:$BH$560</c:f>
              <c:numCache>
                <c:formatCode>General</c:formatCode>
                <c:ptCount val="542"/>
                <c:pt idx="0">
                  <c:v>87.1362801473208</c:v>
                </c:pt>
                <c:pt idx="1">
                  <c:v>87.0700763385623</c:v>
                </c:pt>
                <c:pt idx="2">
                  <c:v>87.0023660293467</c:v>
                </c:pt>
                <c:pt idx="3">
                  <c:v>86.9331166455999</c:v>
                </c:pt>
                <c:pt idx="4">
                  <c:v>86.8622950311027</c:v>
                </c:pt>
                <c:pt idx="5">
                  <c:v>86.789867446152</c:v>
                </c:pt>
                <c:pt idx="6">
                  <c:v>86.715799567017</c:v>
                </c:pt>
                <c:pt idx="7">
                  <c:v>86.6400564862601</c:v>
                </c:pt>
                <c:pt idx="8">
                  <c:v>86.5626027140009</c:v>
                </c:pt>
                <c:pt idx="9">
                  <c:v>86.4834021802034</c:v>
                </c:pt>
                <c:pt idx="10">
                  <c:v>86.402418238075</c:v>
                </c:pt>
                <c:pt idx="11">
                  <c:v>86.3196136686667</c:v>
                </c:pt>
                <c:pt idx="12">
                  <c:v>86.2349506867778</c:v>
                </c:pt>
                <c:pt idx="13">
                  <c:v>86.1483909482636</c:v>
                </c:pt>
                <c:pt idx="14">
                  <c:v>86.0598955588636</c:v>
                </c:pt>
                <c:pt idx="15">
                  <c:v>85.9694250846615</c:v>
                </c:pt>
                <c:pt idx="16">
                  <c:v>85.8769395643072</c:v>
                </c:pt>
                <c:pt idx="17">
                  <c:v>85.7823985231294</c:v>
                </c:pt>
                <c:pt idx="18">
                  <c:v>85.6857609892805</c:v>
                </c:pt>
                <c:pt idx="19">
                  <c:v>85.58698551206</c:v>
                </c:pt>
                <c:pt idx="20">
                  <c:v>85.4860301825736</c:v>
                </c:pt>
                <c:pt idx="21">
                  <c:v>85.3828526568916</c:v>
                </c:pt>
                <c:pt idx="22">
                  <c:v>85.2774101818796</c:v>
                </c:pt>
                <c:pt idx="23">
                  <c:v>85.1696596238831</c:v>
                </c:pt>
                <c:pt idx="24">
                  <c:v>85.0595575004591</c:v>
                </c:pt>
                <c:pt idx="25">
                  <c:v>84.9470600153515</c:v>
                </c:pt>
                <c:pt idx="26">
                  <c:v>84.8321230969242</c:v>
                </c:pt>
                <c:pt idx="27">
                  <c:v>84.7147024402684</c:v>
                </c:pt>
                <c:pt idx="28">
                  <c:v>84.5947535532146</c:v>
                </c:pt>
                <c:pt idx="29">
                  <c:v>84.4722318064876</c:v>
                </c:pt>
                <c:pt idx="30">
                  <c:v>84.3470924882523</c:v>
                </c:pt>
                <c:pt idx="31">
                  <c:v>84.2192908633092</c:v>
                </c:pt>
                <c:pt idx="32">
                  <c:v>84.0887822372041</c:v>
                </c:pt>
                <c:pt idx="33">
                  <c:v>83.9555220255293</c:v>
                </c:pt>
                <c:pt idx="34">
                  <c:v>83.8194658286988</c:v>
                </c:pt>
                <c:pt idx="35">
                  <c:v>83.6805695124893</c:v>
                </c:pt>
                <c:pt idx="36">
                  <c:v>83.5387892946456</c:v>
                </c:pt>
                <c:pt idx="37">
                  <c:v>83.3940818378534</c:v>
                </c:pt>
                <c:pt idx="38">
                  <c:v>83.2464043493905</c:v>
                </c:pt>
                <c:pt idx="39">
                  <c:v>83.0957146877678</c:v>
                </c:pt>
                <c:pt idx="40">
                  <c:v>82.9419714766767</c:v>
                </c:pt>
                <c:pt idx="41">
                  <c:v>82.7851342265555</c:v>
                </c:pt>
                <c:pt idx="42">
                  <c:v>82.6251634640926</c:v>
                </c:pt>
                <c:pt idx="43">
                  <c:v>82.4620208699735</c:v>
                </c:pt>
                <c:pt idx="44">
                  <c:v>82.2956694251769</c:v>
                </c:pt>
                <c:pt idx="45">
                  <c:v>82.1260735661115</c:v>
                </c:pt>
                <c:pt idx="46">
                  <c:v>81.9531993488805</c:v>
                </c:pt>
                <c:pt idx="47">
                  <c:v>81.7770146229323</c:v>
                </c:pt>
                <c:pt idx="48">
                  <c:v>81.5974892143498</c:v>
                </c:pt>
                <c:pt idx="49">
                  <c:v>81.414595118992</c:v>
                </c:pt>
                <c:pt idx="50">
                  <c:v>81.2283067056864</c:v>
                </c:pt>
                <c:pt idx="51">
                  <c:v>81.038600929623</c:v>
                </c:pt>
                <c:pt idx="52">
                  <c:v>80.8454575560696</c:v>
                </c:pt>
                <c:pt idx="53">
                  <c:v>80.6488593944787</c:v>
                </c:pt>
                <c:pt idx="54">
                  <c:v>80.4487925429994</c:v>
                </c:pt>
                <c:pt idx="55">
                  <c:v>80.2452466433575</c:v>
                </c:pt>
                <c:pt idx="56">
                  <c:v>80.0382151459874</c:v>
                </c:pt>
                <c:pt idx="57">
                  <c:v>79.8276955852347</c:v>
                </c:pt>
                <c:pt idx="58">
                  <c:v>79.6136898643593</c:v>
                </c:pt>
                <c:pt idx="59">
                  <c:v>79.3962045499792</c:v>
                </c:pt>
                <c:pt idx="60">
                  <c:v>79.175251175493</c:v>
                </c:pt>
                <c:pt idx="61">
                  <c:v>78.9508465529142</c:v>
                </c:pt>
                <c:pt idx="62">
                  <c:v>78.7230130924265</c:v>
                </c:pt>
                <c:pt idx="63">
                  <c:v>78.4917791288464</c:v>
                </c:pt>
                <c:pt idx="64">
                  <c:v>78.257179254043</c:v>
                </c:pt>
                <c:pt idx="65">
                  <c:v>78.0192546542196</c:v>
                </c:pt>
                <c:pt idx="66">
                  <c:v>77.7780534508098</c:v>
                </c:pt>
                <c:pt idx="67">
                  <c:v>77.5336310435838</c:v>
                </c:pt>
                <c:pt idx="68">
                  <c:v>77.2860504543914</c:v>
                </c:pt>
                <c:pt idx="69">
                  <c:v>77.0353826697982</c:v>
                </c:pt>
                <c:pt idx="70">
                  <c:v>76.7817069806976</c:v>
                </c:pt>
                <c:pt idx="71">
                  <c:v>76.525111316801</c:v>
                </c:pt>
                <c:pt idx="72">
                  <c:v>76.2656925737311</c:v>
                </c:pt>
                <c:pt idx="73">
                  <c:v>76.0035569302646</c:v>
                </c:pt>
                <c:pt idx="74">
                  <c:v>75.7388201530981</c:v>
                </c:pt>
                <c:pt idx="75">
                  <c:v>75.4716078863407</c:v>
                </c:pt>
                <c:pt idx="76">
                  <c:v>75.2020559227796</c:v>
                </c:pt>
                <c:pt idx="77">
                  <c:v>74.9303104538172</c:v>
                </c:pt>
                <c:pt idx="78">
                  <c:v>74.6565282948459</c:v>
                </c:pt>
                <c:pt idx="79">
                  <c:v>74.3808770827122</c:v>
                </c:pt>
                <c:pt idx="80">
                  <c:v>74.103535441833</c:v>
                </c:pt>
                <c:pt idx="81">
                  <c:v>73.8246931154602</c:v>
                </c:pt>
                <c:pt idx="82">
                  <c:v>73.5445510585499</c:v>
                </c:pt>
                <c:pt idx="83">
                  <c:v>73.2633214886948</c:v>
                </c:pt>
                <c:pt idx="84">
                  <c:v>72.9812278916076</c:v>
                </c:pt>
                <c:pt idx="85">
                  <c:v>72.6985049777151</c:v>
                </c:pt>
                <c:pt idx="86">
                  <c:v>72.4153985865392</c:v>
                </c:pt>
                <c:pt idx="87">
                  <c:v>72.1321655357008</c:v>
                </c:pt>
                <c:pt idx="88">
                  <c:v>71.8490734115855</c:v>
                </c:pt>
                <c:pt idx="89">
                  <c:v>71.5664002989698</c:v>
                </c:pt>
                <c:pt idx="90">
                  <c:v>71.2844344472058</c:v>
                </c:pt>
                <c:pt idx="91">
                  <c:v>71.0034738709161</c:v>
                </c:pt>
                <c:pt idx="92">
                  <c:v>70.7238258835539</c:v>
                </c:pt>
                <c:pt idx="93">
                  <c:v>70.4458065626228</c:v>
                </c:pt>
                <c:pt idx="94">
                  <c:v>70.1697401458506</c:v>
                </c:pt>
                <c:pt idx="95">
                  <c:v>69.8959583581323</c:v>
                </c:pt>
                <c:pt idx="96">
                  <c:v>69.6247996696289</c:v>
                </c:pt>
                <c:pt idx="97">
                  <c:v>69.3566084860009</c:v>
                </c:pt>
                <c:pt idx="98">
                  <c:v>69.0917342723718</c:v>
                </c:pt>
                <c:pt idx="99">
                  <c:v>68.8305306132604</c:v>
                </c:pt>
                <c:pt idx="100">
                  <c:v>68.5733542113536</c:v>
                </c:pt>
                <c:pt idx="101">
                  <c:v>68.3205638286427</c:v>
                </c:pt>
                <c:pt idx="102">
                  <c:v>68.0725191740817</c:v>
                </c:pt>
                <c:pt idx="103">
                  <c:v>67.8295797425436</c:v>
                </c:pt>
                <c:pt idx="104">
                  <c:v>67.5921036104485</c:v>
                </c:pt>
                <c:pt idx="105">
                  <c:v>67.3604461939908</c:v>
                </c:pt>
                <c:pt idx="106">
                  <c:v>67.1349589764221</c:v>
                </c:pt>
                <c:pt idx="107">
                  <c:v>66.9159882112994</c:v>
                </c:pt>
                <c:pt idx="108">
                  <c:v>66.703873609035</c:v>
                </c:pt>
                <c:pt idx="109">
                  <c:v>66.4989470144153</c:v>
                </c:pt>
                <c:pt idx="110">
                  <c:v>66.3015310830545</c:v>
                </c:pt>
                <c:pt idx="111">
                  <c:v>66.111937964935</c:v>
                </c:pt>
                <c:pt idx="112">
                  <c:v>65.9304680033375</c:v>
                </c:pt>
                <c:pt idx="113">
                  <c:v>65.7574084575004</c:v>
                </c:pt>
                <c:pt idx="114">
                  <c:v>65.5930322573431</c:v>
                </c:pt>
                <c:pt idx="115">
                  <c:v>65.4375967984582</c:v>
                </c:pt>
                <c:pt idx="116">
                  <c:v>65.2913427854341</c:v>
                </c:pt>
                <c:pt idx="117">
                  <c:v>65.1544931312829</c:v>
                </c:pt>
                <c:pt idx="118">
                  <c:v>65.0272519204495</c:v>
                </c:pt>
                <c:pt idx="119">
                  <c:v>64.9098034424746</c:v>
                </c:pt>
                <c:pt idx="120">
                  <c:v>64.8023113029337</c:v>
                </c:pt>
                <c:pt idx="121">
                  <c:v>64.7049176177687</c:v>
                </c:pt>
                <c:pt idx="122">
                  <c:v>64.6177422965601</c:v>
                </c:pt>
                <c:pt idx="123">
                  <c:v>64.5408824196835</c:v>
                </c:pt>
                <c:pt idx="124">
                  <c:v>64.4744117136413</c:v>
                </c:pt>
                <c:pt idx="125">
                  <c:v>64.4183801281877</c:v>
                </c:pt>
                <c:pt idx="126">
                  <c:v>64.3728135181362</c:v>
                </c:pt>
                <c:pt idx="127">
                  <c:v>64.3377134320235</c:v>
                </c:pt>
                <c:pt idx="128">
                  <c:v>64.313057009036</c:v>
                </c:pt>
                <c:pt idx="129">
                  <c:v>64.2987969848564</c:v>
                </c:pt>
                <c:pt idx="130">
                  <c:v>64.2948618063147</c:v>
                </c:pt>
                <c:pt idx="131">
                  <c:v>64.3011558539625</c:v>
                </c:pt>
                <c:pt idx="132">
                  <c:v>64.3175597709332</c:v>
                </c:pt>
                <c:pt idx="133">
                  <c:v>64.3439308957</c:v>
                </c:pt>
                <c:pt idx="134">
                  <c:v>64.3801037956225</c:v>
                </c:pt>
                <c:pt idx="135">
                  <c:v>64.4258908974546</c:v>
                </c:pt>
                <c:pt idx="136">
                  <c:v>64.4810832103356</c:v>
                </c:pt>
                <c:pt idx="137">
                  <c:v>64.545451136121</c:v>
                </c:pt>
                <c:pt idx="138">
                  <c:v>64.6187453613391</c:v>
                </c:pt>
                <c:pt idx="139">
                  <c:v>64.7006978244937</c:v>
                </c:pt>
                <c:pt idx="140">
                  <c:v>64.7910227519521</c:v>
                </c:pt>
                <c:pt idx="141">
                  <c:v>64.8894177552118</c:v>
                </c:pt>
                <c:pt idx="142">
                  <c:v>64.995564981975</c:v>
                </c:pt>
                <c:pt idx="143">
                  <c:v>65.109132313155</c:v>
                </c:pt>
                <c:pt idx="144">
                  <c:v>65.2297745977057</c:v>
                </c:pt>
                <c:pt idx="145">
                  <c:v>65.3571349170092</c:v>
                </c:pt>
                <c:pt idx="146">
                  <c:v>65.4908458704792</c:v>
                </c:pt>
                <c:pt idx="147">
                  <c:v>65.6305308740335</c:v>
                </c:pt>
                <c:pt idx="148">
                  <c:v>65.775805463169</c:v>
                </c:pt>
                <c:pt idx="149">
                  <c:v>65.9262785925218</c:v>
                </c:pt>
                <c:pt idx="150">
                  <c:v>66.0815539240289</c:v>
                </c:pt>
                <c:pt idx="151">
                  <c:v>66.2412310961033</c:v>
                </c:pt>
                <c:pt idx="152">
                  <c:v>66.4049069666051</c:v>
                </c:pt>
                <c:pt idx="153">
                  <c:v>66.5721768228139</c:v>
                </c:pt>
                <c:pt idx="154">
                  <c:v>66.7426355521018</c:v>
                </c:pt>
                <c:pt idx="155">
                  <c:v>66.9158787675245</c:v>
                </c:pt>
                <c:pt idx="156">
                  <c:v>67.0915038831289</c:v>
                </c:pt>
                <c:pt idx="157">
                  <c:v>67.2691111343793</c:v>
                </c:pt>
                <c:pt idx="158">
                  <c:v>67.4483045397164</c:v>
                </c:pt>
                <c:pt idx="159">
                  <c:v>67.6286927999293</c:v>
                </c:pt>
                <c:pt idx="160">
                  <c:v>67.8098901326359</c:v>
                </c:pt>
                <c:pt idx="161">
                  <c:v>67.9915170398369</c:v>
                </c:pt>
                <c:pt idx="162">
                  <c:v>68.173201007123</c:v>
                </c:pt>
                <c:pt idx="163">
                  <c:v>68.3545771337358</c:v>
                </c:pt>
                <c:pt idx="164">
                  <c:v>68.5352886932723</c:v>
                </c:pt>
                <c:pt idx="165">
                  <c:v>68.7149876253703</c:v>
                </c:pt>
                <c:pt idx="166">
                  <c:v>68.8933349592462</c:v>
                </c:pt>
                <c:pt idx="167">
                  <c:v>69.0700011704228</c:v>
                </c:pt>
                <c:pt idx="168">
                  <c:v>69.2446664724281</c:v>
                </c:pt>
                <c:pt idx="169">
                  <c:v>69.4170210456249</c:v>
                </c:pt>
                <c:pt idx="170">
                  <c:v>69.5867652056892</c:v>
                </c:pt>
                <c:pt idx="171">
                  <c:v>69.7536095145182</c:v>
                </c:pt>
                <c:pt idx="172">
                  <c:v>69.9172748366209</c:v>
                </c:pt>
                <c:pt idx="173">
                  <c:v>70.0774923442177</c:v>
                </c:pt>
                <c:pt idx="174">
                  <c:v>70.2340034744311</c:v>
                </c:pt>
                <c:pt idx="175">
                  <c:v>70.3865598420572</c:v>
                </c:pt>
                <c:pt idx="176">
                  <c:v>70.5349231114638</c:v>
                </c:pt>
                <c:pt idx="177">
                  <c:v>70.6788648311893</c:v>
                </c:pt>
                <c:pt idx="178">
                  <c:v>70.8181662348071</c:v>
                </c:pt>
                <c:pt idx="179">
                  <c:v>70.9526180115715</c:v>
                </c:pt>
                <c:pt idx="180">
                  <c:v>71.0820200502966</c:v>
                </c:pt>
                <c:pt idx="181">
                  <c:v>71.2061811598245</c:v>
                </c:pt>
                <c:pt idx="182">
                  <c:v>71.3249187693148</c:v>
                </c:pt>
                <c:pt idx="183">
                  <c:v>71.438058611467</c:v>
                </c:pt>
                <c:pt idx="184">
                  <c:v>71.5454343916294</c:v>
                </c:pt>
                <c:pt idx="185">
                  <c:v>71.6468874455929</c:v>
                </c:pt>
                <c:pt idx="186">
                  <c:v>71.7422663887056</c:v>
                </c:pt>
                <c:pt idx="187">
                  <c:v>71.8314267587661</c:v>
                </c:pt>
                <c:pt idx="188">
                  <c:v>71.9142306549899</c:v>
                </c:pt>
                <c:pt idx="189">
                  <c:v>71.9905463751566</c:v>
                </c:pt>
                <c:pt idx="190">
                  <c:v>72.0602480528804</c:v>
                </c:pt>
                <c:pt idx="191">
                  <c:v>72.1232152967825</c:v>
                </c:pt>
                <c:pt idx="192">
                  <c:v>72.1793328331643</c:v>
                </c:pt>
                <c:pt idx="193">
                  <c:v>72.2284901536378</c:v>
                </c:pt>
                <c:pt idx="194">
                  <c:v>72.2705811690077</c:v>
                </c:pt>
                <c:pt idx="195">
                  <c:v>72.3055038705607</c:v>
                </c:pt>
                <c:pt idx="196">
                  <c:v>72.3331599997818</c:v>
                </c:pt>
                <c:pt idx="197">
                  <c:v>72.3534547273895</c:v>
                </c:pt>
                <c:pt idx="198">
                  <c:v>72.3662963424631</c:v>
                </c:pt>
                <c:pt idx="199">
                  <c:v>72.3715959523331</c:v>
                </c:pt>
                <c:pt idx="200">
                  <c:v>72.3692671937969</c:v>
                </c:pt>
                <c:pt idx="201">
                  <c:v>72.3592259561409</c:v>
                </c:pt>
                <c:pt idx="202">
                  <c:v>72.3413901163615</c:v>
                </c:pt>
                <c:pt idx="203">
                  <c:v>72.3156792869095</c:v>
                </c:pt>
                <c:pt idx="204">
                  <c:v>72.2820145762135</c:v>
                </c:pt>
                <c:pt idx="205">
                  <c:v>72.2403183621849</c:v>
                </c:pt>
                <c:pt idx="206">
                  <c:v>72.1905140788523</c:v>
                </c:pt>
                <c:pt idx="207">
                  <c:v>72.132526016236</c:v>
                </c:pt>
                <c:pt idx="208">
                  <c:v>72.0662791335309</c:v>
                </c:pt>
                <c:pt idx="209">
                  <c:v>71.9916988856397</c:v>
                </c:pt>
                <c:pt idx="210">
                  <c:v>71.908711063071</c:v>
                </c:pt>
                <c:pt idx="211">
                  <c:v>71.8172416451955</c:v>
                </c:pt>
                <c:pt idx="212">
                  <c:v>71.7172166668399</c:v>
                </c:pt>
                <c:pt idx="213">
                  <c:v>71.6085620981831</c:v>
                </c:pt>
                <c:pt idx="214">
                  <c:v>71.4912037379106</c:v>
                </c:pt>
                <c:pt idx="215">
                  <c:v>71.3650671195776</c:v>
                </c:pt>
                <c:pt idx="216">
                  <c:v>71.2300774311266</c:v>
                </c:pt>
                <c:pt idx="217">
                  <c:v>71.0861594475005</c:v>
                </c:pt>
                <c:pt idx="218">
                  <c:v>70.9332374762968</c:v>
                </c:pt>
                <c:pt idx="219">
                  <c:v>70.7712353164004</c:v>
                </c:pt>
                <c:pt idx="220">
                  <c:v>70.6000762295399</c:v>
                </c:pt>
                <c:pt idx="221">
                  <c:v>70.4196829247056</c:v>
                </c:pt>
                <c:pt idx="222">
                  <c:v>70.2299775553735</c:v>
                </c:pt>
                <c:pt idx="223">
                  <c:v>70.0308817294694</c:v>
                </c:pt>
                <c:pt idx="224">
                  <c:v>69.8223165320112</c:v>
                </c:pt>
                <c:pt idx="225">
                  <c:v>69.6042025603596</c:v>
                </c:pt>
                <c:pt idx="226">
                  <c:v>69.3764599719982</c:v>
                </c:pt>
                <c:pt idx="227">
                  <c:v>69.1390085447544</c:v>
                </c:pt>
                <c:pt idx="228">
                  <c:v>68.8917677493611</c:v>
                </c:pt>
                <c:pt idx="229">
                  <c:v>68.6346568342378</c:v>
                </c:pt>
                <c:pt idx="230">
                  <c:v>68.3675949223544</c:v>
                </c:pt>
                <c:pt idx="231">
                  <c:v>68.0905011200069</c:v>
                </c:pt>
                <c:pt idx="232">
                  <c:v>67.8032946373131</c:v>
                </c:pt>
                <c:pt idx="233">
                  <c:v>67.5058949201939</c:v>
                </c:pt>
                <c:pt idx="234">
                  <c:v>67.1982217935734</c:v>
                </c:pt>
                <c:pt idx="235">
                  <c:v>66.8801956154734</c:v>
                </c:pt>
                <c:pt idx="236">
                  <c:v>66.5517374416411</c:v>
                </c:pt>
                <c:pt idx="237">
                  <c:v>66.2127692002798</c:v>
                </c:pt>
                <c:pt idx="238">
                  <c:v>65.8632138763942</c:v>
                </c:pt>
                <c:pt idx="239">
                  <c:v>65.5029957051995</c:v>
                </c:pt>
                <c:pt idx="240">
                  <c:v>65.1320403739569</c:v>
                </c:pt>
                <c:pt idx="241">
                  <c:v>64.7502752315343</c:v>
                </c:pt>
                <c:pt idx="242">
                  <c:v>64.3576295048967</c:v>
                </c:pt>
                <c:pt idx="243">
                  <c:v>63.9540345216493</c:v>
                </c:pt>
                <c:pt idx="244">
                  <c:v>63.539423937665</c:v>
                </c:pt>
                <c:pt idx="245">
                  <c:v>63.1137339687347</c:v>
                </c:pt>
                <c:pt idx="246">
                  <c:v>62.6769036250819</c:v>
                </c:pt>
                <c:pt idx="247">
                  <c:v>62.2288749474978</c:v>
                </c:pt>
                <c:pt idx="248">
                  <c:v>61.7695932437471</c:v>
                </c:pt>
                <c:pt idx="249">
                  <c:v>61.299007323819</c:v>
                </c:pt>
                <c:pt idx="250">
                  <c:v>60.8170697324999</c:v>
                </c:pt>
                <c:pt idx="251">
                  <c:v>60.3237369776793</c:v>
                </c:pt>
                <c:pt idx="252">
                  <c:v>59.8189697527188</c:v>
                </c:pt>
                <c:pt idx="253">
                  <c:v>59.3027331511685</c:v>
                </c:pt>
                <c:pt idx="254">
                  <c:v>58.7749968720597</c:v>
                </c:pt>
                <c:pt idx="255">
                  <c:v>58.2357354139894</c:v>
                </c:pt>
                <c:pt idx="256">
                  <c:v>57.6849282561867</c:v>
                </c:pt>
                <c:pt idx="257">
                  <c:v>57.1225600247818</c:v>
                </c:pt>
                <c:pt idx="258">
                  <c:v>56.5486206425216</c:v>
                </c:pt>
                <c:pt idx="259">
                  <c:v>55.9631054602465</c:v>
                </c:pt>
                <c:pt idx="260">
                  <c:v>55.3660153685321</c:v>
                </c:pt>
                <c:pt idx="261">
                  <c:v>54.7573568880201</c:v>
                </c:pt>
                <c:pt idx="262">
                  <c:v>54.1371422371206</c:v>
                </c:pt>
                <c:pt idx="263">
                  <c:v>53.5053893759457</c:v>
                </c:pt>
                <c:pt idx="264">
                  <c:v>52.86212202556</c:v>
                </c:pt>
                <c:pt idx="265">
                  <c:v>52.2073696618804</c:v>
                </c:pt>
                <c:pt idx="266">
                  <c:v>51.5411674838397</c:v>
                </c:pt>
                <c:pt idx="267">
                  <c:v>50.8635563557427</c:v>
                </c:pt>
                <c:pt idx="268">
                  <c:v>50.1745827240767</c:v>
                </c:pt>
                <c:pt idx="269">
                  <c:v>49.4742985094049</c:v>
                </c:pt>
                <c:pt idx="270">
                  <c:v>48.7627609743498</c:v>
                </c:pt>
                <c:pt idx="271">
                  <c:v>48.0400325690593</c:v>
                </c:pt>
                <c:pt idx="272">
                  <c:v>47.3061807559594</c:v>
                </c:pt>
                <c:pt idx="273">
                  <c:v>46.5612778159858</c:v>
                </c:pt>
                <c:pt idx="274">
                  <c:v>45.8054006388818</c:v>
                </c:pt>
                <c:pt idx="275">
                  <c:v>45.0386305005209</c:v>
                </c:pt>
                <c:pt idx="276">
                  <c:v>44.2610528305638</c:v>
                </c:pt>
                <c:pt idx="277">
                  <c:v>43.4727569740655</c:v>
                </c:pt>
                <c:pt idx="278">
                  <c:v>42.673835950924</c:v>
                </c:pt>
                <c:pt idx="279">
                  <c:v>41.8643862172813</c:v>
                </c:pt>
                <c:pt idx="280">
                  <c:v>41.0445074331267</c:v>
                </c:pt>
                <c:pt idx="281">
                  <c:v>40.2143022404722</c:v>
                </c:pt>
                <c:pt idx="282">
                  <c:v>39.3738760564542</c:v>
                </c:pt>
                <c:pt idx="283">
                  <c:v>38.523336885676</c:v>
                </c:pt>
                <c:pt idx="284">
                  <c:v>37.6627951559458</c:v>
                </c:pt>
                <c:pt idx="285">
                  <c:v>36.7923635813514</c:v>
                </c:pt>
                <c:pt idx="286">
                  <c:v>35.9121570562941</c:v>
                </c:pt>
                <c:pt idx="287">
                  <c:v>35.0222925837191</c:v>
                </c:pt>
                <c:pt idx="288">
                  <c:v>34.1228892403181</c:v>
                </c:pt>
                <c:pt idx="289">
                  <c:v>33.2140681809433</c:v>
                </c:pt>
                <c:pt idx="290">
                  <c:v>32.2959526838903</c:v>
                </c:pt>
                <c:pt idx="291">
                  <c:v>31.3686682380572</c:v>
                </c:pt>
                <c:pt idx="292">
                  <c:v>30.4323426723185</c:v>
                </c:pt>
                <c:pt idx="293">
                  <c:v>29.4871063267579</c:v>
                </c:pt>
                <c:pt idx="294">
                  <c:v>28.5330922646736</c:v>
                </c:pt>
                <c:pt idx="295">
                  <c:v>27.5704365236054</c:v>
                </c:pt>
                <c:pt idx="296">
                  <c:v>26.5992784029093</c:v>
                </c:pt>
                <c:pt idx="297">
                  <c:v>25.6197607847885</c:v>
                </c:pt>
                <c:pt idx="298">
                  <c:v>24.6320304850837</c:v>
                </c:pt>
                <c:pt idx="299">
                  <c:v>23.6362386295766</c:v>
                </c:pt>
                <c:pt idx="300">
                  <c:v>22.6325410511169</c:v>
                </c:pt>
                <c:pt idx="301">
                  <c:v>21.6210987024807</c:v>
                </c:pt>
                <c:pt idx="302">
                  <c:v>20.6020780795894</c:v>
                </c:pt>
                <c:pt idx="303">
                  <c:v>19.5756516494961</c:v>
                </c:pt>
                <c:pt idx="304">
                  <c:v>18.5419982774574</c:v>
                </c:pt>
                <c:pt idx="305">
                  <c:v>17.5013036473791</c:v>
                </c:pt>
                <c:pt idx="306">
                  <c:v>16.453760670014</c:v>
                </c:pt>
                <c:pt idx="307">
                  <c:v>15.3995698734376</c:v>
                </c:pt>
                <c:pt idx="308">
                  <c:v>14.3389397705776</c:v>
                </c:pt>
                <c:pt idx="309">
                  <c:v>13.2720871988869</c:v>
                </c:pt>
                <c:pt idx="310">
                  <c:v>12.1992376276124</c:v>
                </c:pt>
                <c:pt idx="311">
                  <c:v>11.1206254285401</c:v>
                </c:pt>
                <c:pt idx="312">
                  <c:v>10.0364941065352</c:v>
                </c:pt>
                <c:pt idx="313">
                  <c:v>8.94709648670813</c:v>
                </c:pt>
                <c:pt idx="314">
                  <c:v>7.85269485549031</c:v>
                </c:pt>
                <c:pt idx="315">
                  <c:v>6.75356105344036</c:v>
                </c:pt>
                <c:pt idx="316">
                  <c:v>5.64997651804912</c:v>
                </c:pt>
                <c:pt idx="317">
                  <c:v>4.54223227532308</c:v>
                </c:pt>
                <c:pt idx="318">
                  <c:v>3.43062887934261</c:v>
                </c:pt>
                <c:pt idx="319">
                  <c:v>2.31547629942531</c:v>
                </c:pt>
                <c:pt idx="320">
                  <c:v>1.1970937549105</c:v>
                </c:pt>
                <c:pt idx="321">
                  <c:v>0.0758094979334357</c:v>
                </c:pt>
                <c:pt idx="322">
                  <c:v>-1.04803945513075</c:v>
                </c:pt>
                <c:pt idx="323">
                  <c:v>-2.17410764258516</c:v>
                </c:pt>
                <c:pt idx="324">
                  <c:v>-3.30204152546368</c:v>
                </c:pt>
                <c:pt idx="325">
                  <c:v>-4.43147990328607</c:v>
                </c:pt>
                <c:pt idx="326">
                  <c:v>-5.56205437585048</c:v>
                </c:pt>
                <c:pt idx="327">
                  <c:v>-6.69338984925325</c:v>
                </c:pt>
                <c:pt idx="328">
                  <c:v>-7.82510508411888</c:v>
                </c:pt>
                <c:pt idx="329">
                  <c:v>-8.95681328389329</c:v>
                </c:pt>
                <c:pt idx="330">
                  <c:v>-10.0881227208682</c:v>
                </c:pt>
                <c:pt idx="331">
                  <c:v>-11.2186373974872</c:v>
                </c:pt>
                <c:pt idx="332">
                  <c:v>-12.3479577402754</c:v>
                </c:pt>
                <c:pt idx="333">
                  <c:v>-13.475681323626</c:v>
                </c:pt>
                <c:pt idx="334">
                  <c:v>-14.6014036204652</c:v>
                </c:pt>
                <c:pt idx="335">
                  <c:v>-15.7247187766816</c:v>
                </c:pt>
                <c:pt idx="336">
                  <c:v>-16.8452204060024</c:v>
                </c:pt>
                <c:pt idx="337">
                  <c:v>-17.9625024018549</c:v>
                </c:pt>
                <c:pt idx="338">
                  <c:v>-19.0761597625482</c:v>
                </c:pt>
                <c:pt idx="339">
                  <c:v>-20.1857894259824</c:v>
                </c:pt>
                <c:pt idx="340">
                  <c:v>-21.2909911099095</c:v>
                </c:pt>
                <c:pt idx="341">
                  <c:v>-22.3913681536688</c:v>
                </c:pt>
                <c:pt idx="342">
                  <c:v>-23.4865283571812</c:v>
                </c:pt>
                <c:pt idx="343">
                  <c:v>-24.5760848129298</c:v>
                </c:pt>
                <c:pt idx="344">
                  <c:v>-25.6596567265943</c:v>
                </c:pt>
                <c:pt idx="345">
                  <c:v>-26.7368702220087</c:v>
                </c:pt>
                <c:pt idx="346">
                  <c:v>-27.8073591261194</c:v>
                </c:pt>
                <c:pt idx="347">
                  <c:v>-28.8707657297348</c:v>
                </c:pt>
                <c:pt idx="348">
                  <c:v>-29.9267415199397</c:v>
                </c:pt>
                <c:pt idx="349">
                  <c:v>-30.9749478802411</c:v>
                </c:pt>
                <c:pt idx="350">
                  <c:v>-32.0150567547143</c:v>
                </c:pt>
                <c:pt idx="351">
                  <c:v>-33.0467512726725</c:v>
                </c:pt>
                <c:pt idx="352">
                  <c:v>-34.0697263306873</c:v>
                </c:pt>
                <c:pt idx="353">
                  <c:v>-35.0836891291082</c:v>
                </c:pt>
                <c:pt idx="354">
                  <c:v>-36.0883596606086</c:v>
                </c:pt>
                <c:pt idx="355">
                  <c:v>-37.083471148664</c:v>
                </c:pt>
                <c:pt idx="356">
                  <c:v>-38.0687704342912</c:v>
                </c:pt>
                <c:pt idx="357">
                  <c:v>-39.0440183097911</c:v>
                </c:pt>
                <c:pt idx="358">
                  <c:v>-40.0089897986872</c:v>
                </c:pt>
                <c:pt idx="359">
                  <c:v>-40.9634743814659</c:v>
                </c:pt>
                <c:pt idx="360">
                  <c:v>-41.9072761671765</c:v>
                </c:pt>
                <c:pt idx="361">
                  <c:v>-42.8402140113401</c:v>
                </c:pt>
                <c:pt idx="362">
                  <c:v>-43.7621215810448</c:v>
                </c:pt>
                <c:pt idx="363">
                  <c:v>-44.6728473684495</c:v>
                </c:pt>
                <c:pt idx="364">
                  <c:v>-45.5722546543</c:v>
                </c:pt>
                <c:pt idx="365">
                  <c:v>-46.460221423356</c:v>
                </c:pt>
                <c:pt idx="366">
                  <c:v>-47.3366402339244</c:v>
                </c:pt>
                <c:pt idx="367">
                  <c:v>-48.2014180439456</c:v>
                </c:pt>
                <c:pt idx="368">
                  <c:v>-49.0544759962778</c:v>
                </c:pt>
                <c:pt idx="369">
                  <c:v>-49.8957491660192</c:v>
                </c:pt>
                <c:pt idx="370">
                  <c:v>-50.7251862728211</c:v>
                </c:pt>
                <c:pt idx="371">
                  <c:v>-51.5427493612648</c:v>
                </c:pt>
                <c:pt idx="372">
                  <c:v>-52.3484134524172</c:v>
                </c:pt>
                <c:pt idx="373">
                  <c:v>-53.1421661697271</c:v>
                </c:pt>
                <c:pt idx="374">
                  <c:v>-53.9240073424058</c:v>
                </c:pt>
                <c:pt idx="375">
                  <c:v>-54.693948589411</c:v>
                </c:pt>
                <c:pt idx="376">
                  <c:v>-55.4520128870833</c:v>
                </c:pt>
                <c:pt idx="377">
                  <c:v>-56.1982341234139</c:v>
                </c:pt>
                <c:pt idx="378">
                  <c:v>-56.9326566417984</c:v>
                </c:pt>
                <c:pt idx="379">
                  <c:v>-57.6553347770292</c:v>
                </c:pt>
                <c:pt idx="380">
                  <c:v>-58.3663323861195</c:v>
                </c:pt>
                <c:pt idx="381">
                  <c:v>-59.0657223764182</c:v>
                </c:pt>
                <c:pt idx="382">
                  <c:v>-59.7535862333098</c:v>
                </c:pt>
                <c:pt idx="383">
                  <c:v>-60.4300135496254</c:v>
                </c:pt>
                <c:pt idx="384">
                  <c:v>-61.095101558725</c:v>
                </c:pt>
                <c:pt idx="385">
                  <c:v>-61.7489546730424</c:v>
                </c:pt>
                <c:pt idx="386">
                  <c:v>-62.3916840297031</c:v>
                </c:pt>
                <c:pt idx="387">
                  <c:v>-63.0234070446725</c:v>
                </c:pt>
                <c:pt idx="388">
                  <c:v>-63.644246976712</c:v>
                </c:pt>
                <c:pt idx="389">
                  <c:v>-64.2543325022673</c:v>
                </c:pt>
                <c:pt idx="390">
                  <c:v>-64.8537973022623</c:v>
                </c:pt>
                <c:pt idx="391">
                  <c:v>-65.4427796616197</c:v>
                </c:pt>
                <c:pt idx="392">
                  <c:v>-66.0214220821921</c:v>
                </c:pt>
                <c:pt idx="393">
                  <c:v>-66.5898709096577</c:v>
                </c:pt>
                <c:pt idx="394">
                  <c:v>-67.148275974814</c:v>
                </c:pt>
                <c:pt idx="395">
                  <c:v>-67.6967902495847</c:v>
                </c:pt>
                <c:pt idx="396">
                  <c:v>-68.2355695179577</c:v>
                </c:pt>
                <c:pt idx="397">
                  <c:v>-68.7647720619697</c:v>
                </c:pt>
                <c:pt idx="398">
                  <c:v>-69.2845583627715</c:v>
                </c:pt>
                <c:pt idx="399">
                  <c:v>-69.7950908167291</c:v>
                </c:pt>
                <c:pt idx="400">
                  <c:v>-70.296533466442</c:v>
                </c:pt>
                <c:pt idx="401">
                  <c:v>-70.7890517465069</c:v>
                </c:pt>
                <c:pt idx="402">
                  <c:v>-71.2728122437867</c:v>
                </c:pt>
                <c:pt idx="403">
                  <c:v>-71.7479824719162</c:v>
                </c:pt>
                <c:pt idx="404">
                  <c:v>-72.2147306597172</c:v>
                </c:pt>
                <c:pt idx="405">
                  <c:v>-72.6732255531725</c:v>
                </c:pt>
                <c:pt idx="406">
                  <c:v>-73.123636230579</c:v>
                </c:pt>
                <c:pt idx="407">
                  <c:v>-73.566131930469</c:v>
                </c:pt>
                <c:pt idx="408">
                  <c:v>-74.0008818918827</c:v>
                </c:pt>
                <c:pt idx="409">
                  <c:v>-74.4280552065502</c:v>
                </c:pt>
                <c:pt idx="410">
                  <c:v>-74.8478206825375</c:v>
                </c:pt>
                <c:pt idx="411">
                  <c:v>-75.2603467189037</c:v>
                </c:pt>
                <c:pt idx="412">
                  <c:v>-75.6658011909124</c:v>
                </c:pt>
                <c:pt idx="413">
                  <c:v>-76.0643513453394</c:v>
                </c:pt>
                <c:pt idx="414">
                  <c:v>-76.4561637054261</c:v>
                </c:pt>
                <c:pt idx="415">
                  <c:v>-76.8414039850268</c:v>
                </c:pt>
                <c:pt idx="416">
                  <c:v>-77.2202370115054</c:v>
                </c:pt>
                <c:pt idx="417">
                  <c:v>-77.5928266569515</c:v>
                </c:pt>
                <c:pt idx="418">
                  <c:v>-77.9593357772845</c:v>
                </c:pt>
                <c:pt idx="419">
                  <c:v>-78.3199261588353</c:v>
                </c:pt>
                <c:pt idx="420">
                  <c:v>-78.6747584719994</c:v>
                </c:pt>
                <c:pt idx="421">
                  <c:v>-79.023992231574</c:v>
                </c:pt>
                <c:pt idx="422">
                  <c:v>-79.3677857633947</c:v>
                </c:pt>
                <c:pt idx="423">
                  <c:v>-79.7062961769141</c:v>
                </c:pt>
                <c:pt idx="424">
                  <c:v>-80.0396793433649</c:v>
                </c:pt>
                <c:pt idx="425">
                  <c:v>-80.3680898791731</c:v>
                </c:pt>
                <c:pt idx="426">
                  <c:v>-80.6916811342961</c:v>
                </c:pt>
                <c:pt idx="427">
                  <c:v>-81.0106051851745</c:v>
                </c:pt>
                <c:pt idx="428">
                  <c:v>-81.325012832003</c:v>
                </c:pt>
                <c:pt idx="429">
                  <c:v>-81.6350536000344</c:v>
                </c:pt>
                <c:pt idx="430">
                  <c:v>-81.9408757446469</c:v>
                </c:pt>
                <c:pt idx="431">
                  <c:v>-82.2426262599187</c:v>
                </c:pt>
                <c:pt idx="432">
                  <c:v>-82.540450890462</c:v>
                </c:pt>
                <c:pt idx="433">
                  <c:v>-82.8344941462849</c:v>
                </c:pt>
                <c:pt idx="434">
                  <c:v>-83.1248993204584</c:v>
                </c:pt>
                <c:pt idx="435">
                  <c:v>-83.4118085093797</c:v>
                </c:pt>
                <c:pt idx="436">
                  <c:v>-83.6953626354282</c:v>
                </c:pt>
                <c:pt idx="437">
                  <c:v>-83.9757014718292</c:v>
                </c:pt>
                <c:pt idx="438">
                  <c:v>-84.2529636695415</c:v>
                </c:pt>
                <c:pt idx="439">
                  <c:v>-84.5272867859994</c:v>
                </c:pt>
                <c:pt idx="440">
                  <c:v>-84.798807315547</c:v>
                </c:pt>
                <c:pt idx="441">
                  <c:v>-85.0676607214104</c:v>
                </c:pt>
                <c:pt idx="442">
                  <c:v>-85.3339814690611</c:v>
                </c:pt>
                <c:pt idx="443">
                  <c:v>-85.5979030608329</c:v>
                </c:pt>
                <c:pt idx="444">
                  <c:v>-85.8595580716565</c:v>
                </c:pt>
                <c:pt idx="445">
                  <c:v>-86.1190781857889</c:v>
                </c:pt>
                <c:pt idx="446">
                  <c:v>-86.3765942344146</c:v>
                </c:pt>
                <c:pt idx="447">
                  <c:v>-86.6322362340028</c:v>
                </c:pt>
                <c:pt idx="448">
                  <c:v>-86.8861334253109</c:v>
                </c:pt>
                <c:pt idx="449">
                  <c:v>-87.138414312926</c:v>
                </c:pt>
                <c:pt idx="450">
                  <c:v>-87.3892067052419</c:v>
                </c:pt>
                <c:pt idx="451">
                  <c:v>-87.6386377547719</c:v>
                </c:pt>
                <c:pt idx="452">
                  <c:v>-87.8868339986991</c:v>
                </c:pt>
                <c:pt idx="453">
                  <c:v>-88.1339213995705</c:v>
                </c:pt>
                <c:pt idx="454">
                  <c:v>-88.3800253860411</c:v>
                </c:pt>
                <c:pt idx="455">
                  <c:v>-88.625270893576</c:v>
                </c:pt>
                <c:pt idx="456">
                  <c:v>-88.8697824050209</c:v>
                </c:pt>
                <c:pt idx="457">
                  <c:v>-89.1136839909489</c:v>
                </c:pt>
                <c:pt idx="458">
                  <c:v>-89.3570993496954</c:v>
                </c:pt>
                <c:pt idx="459">
                  <c:v>-89.600151846988</c:v>
                </c:pt>
                <c:pt idx="460">
                  <c:v>-89.8429645550823</c:v>
                </c:pt>
                <c:pt idx="461">
                  <c:v>-90.0856602913084</c:v>
                </c:pt>
                <c:pt idx="462">
                  <c:v>-90.3283616559353</c:v>
                </c:pt>
                <c:pt idx="463">
                  <c:v>-90.5711910692552</c:v>
                </c:pt>
                <c:pt idx="464">
                  <c:v>-90.8142708077887</c:v>
                </c:pt>
                <c:pt idx="465">
                  <c:v>-91.0577230395076</c:v>
                </c:pt>
                <c:pt idx="466">
                  <c:v>-91.3016698579712</c:v>
                </c:pt>
                <c:pt idx="467">
                  <c:v>-91.5462333152626</c:v>
                </c:pt>
                <c:pt idx="468">
                  <c:v>-91.7915354536138</c:v>
                </c:pt>
                <c:pt idx="469">
                  <c:v>-92.0376983355974</c:v>
                </c:pt>
                <c:pt idx="470">
                  <c:v>-92.2848440727629</c:v>
                </c:pt>
                <c:pt idx="471">
                  <c:v>-92.5330948525833</c:v>
                </c:pt>
                <c:pt idx="472">
                  <c:v>-92.7825729635789</c:v>
                </c:pt>
                <c:pt idx="473">
                  <c:v>-93.0334008184719</c:v>
                </c:pt>
                <c:pt idx="474">
                  <c:v>-93.2857009752223</c:v>
                </c:pt>
                <c:pt idx="475">
                  <c:v>-93.5395961557869</c:v>
                </c:pt>
                <c:pt idx="476">
                  <c:v>-93.7952092624337</c:v>
                </c:pt>
                <c:pt idx="477">
                  <c:v>-94.0526633914388</c:v>
                </c:pt>
                <c:pt idx="478">
                  <c:v>-94.3120818439804</c:v>
                </c:pt>
                <c:pt idx="479">
                  <c:v>-94.5735881340381</c:v>
                </c:pt>
                <c:pt idx="480">
                  <c:v>-94.8373059930943</c:v>
                </c:pt>
                <c:pt idx="481">
                  <c:v>-95.1033593714249</c:v>
                </c:pt>
                <c:pt idx="482">
                  <c:v>-95.3718724357588</c:v>
                </c:pt>
                <c:pt idx="483">
                  <c:v>-95.6429695630689</c:v>
                </c:pt>
                <c:pt idx="484">
                  <c:v>-95.9167753302549</c:v>
                </c:pt>
                <c:pt idx="485">
                  <c:v>-96.1934144994593</c:v>
                </c:pt>
                <c:pt idx="486">
                  <c:v>-96.4730119987526</c:v>
                </c:pt>
                <c:pt idx="487">
                  <c:v>-96.755692897911</c:v>
                </c:pt>
                <c:pt idx="488">
                  <c:v>-97.0415823789949</c:v>
                </c:pt>
                <c:pt idx="489">
                  <c:v>-97.3308057014341</c:v>
                </c:pt>
                <c:pt idx="490">
                  <c:v>-97.6234881613054</c:v>
                </c:pt>
                <c:pt idx="491">
                  <c:v>-97.919755044485</c:v>
                </c:pt>
                <c:pt idx="492">
                  <c:v>-98.2197315733441</c:v>
                </c:pt>
                <c:pt idx="493">
                  <c:v>-98.5235428466494</c:v>
                </c:pt>
                <c:pt idx="494">
                  <c:v>-98.8313137723191</c:v>
                </c:pt>
                <c:pt idx="495">
                  <c:v>-99.1431689926809</c:v>
                </c:pt>
                <c:pt idx="496">
                  <c:v>-99.4592328018687</c:v>
                </c:pt>
                <c:pt idx="497">
                  <c:v>-99.7796290549921</c:v>
                </c:pt>
                <c:pt idx="498">
                  <c:v>-100.104481068709</c:v>
                </c:pt>
                <c:pt idx="499">
                  <c:v>-100.433911512827</c:v>
                </c:pt>
                <c:pt idx="500">
                  <c:v>-100.768042292571</c:v>
                </c:pt>
                <c:pt idx="501">
                  <c:v>-101.106994421138</c:v>
                </c:pt>
                <c:pt idx="502">
                  <c:v>-101.450887882185</c:v>
                </c:pt>
                <c:pt idx="503">
                  <c:v>-101.799841481902</c:v>
                </c:pt>
                <c:pt idx="504">
                  <c:v>-102.153972690316</c:v>
                </c:pt>
                <c:pt idx="505">
                  <c:v>-102.513397471521</c:v>
                </c:pt>
                <c:pt idx="506">
                  <c:v>-102.878230102518</c:v>
                </c:pt>
                <c:pt idx="507">
                  <c:v>-103.248582980398</c:v>
                </c:pt>
                <c:pt idx="508">
                  <c:v>-103.624566417613</c:v>
                </c:pt>
                <c:pt idx="509">
                  <c:v>-104.006288425137</c:v>
                </c:pt>
                <c:pt idx="510">
                  <c:v>-104.393854483344</c:v>
                </c:pt>
                <c:pt idx="511">
                  <c:v>-104.787367300479</c:v>
                </c:pt>
                <c:pt idx="512">
                  <c:v>-105.186926558676</c:v>
                </c:pt>
                <c:pt idx="513">
                  <c:v>-105.59262864751</c:v>
                </c:pt>
                <c:pt idx="514">
                  <c:v>-106.00456638515</c:v>
                </c:pt>
                <c:pt idx="515">
                  <c:v>-106.422828727289</c:v>
                </c:pt>
                <c:pt idx="516">
                  <c:v>-106.84750046405</c:v>
                </c:pt>
                <c:pt idx="517">
                  <c:v>-107.278661905236</c:v>
                </c:pt>
                <c:pt idx="518">
                  <c:v>-107.716388554331</c:v>
                </c:pt>
                <c:pt idx="519">
                  <c:v>-108.160750771821</c:v>
                </c:pt>
                <c:pt idx="520">
                  <c:v>-108.611813428494</c:v>
                </c:pt>
                <c:pt idx="521">
                  <c:v>-109.069635549513</c:v>
                </c:pt>
                <c:pt idx="522">
                  <c:v>-109.534269950215</c:v>
                </c:pt>
                <c:pt idx="523">
                  <c:v>-110.005762864699</c:v>
                </c:pt>
                <c:pt idx="524">
                  <c:v>-110.484153568447</c:v>
                </c:pt>
                <c:pt idx="525">
                  <c:v>-110.969473996363</c:v>
                </c:pt>
                <c:pt idx="526">
                  <c:v>-111.461748357783</c:v>
                </c:pt>
                <c:pt idx="527">
                  <c:v>-111.960992750176</c:v>
                </c:pt>
                <c:pt idx="528">
                  <c:v>-112.467214773425</c:v>
                </c:pt>
                <c:pt idx="529">
                  <c:v>-112.980413146735</c:v>
                </c:pt>
                <c:pt idx="530">
                  <c:v>-113.500577330392</c:v>
                </c:pt>
                <c:pt idx="531">
                  <c:v>-114.027687154756</c:v>
                </c:pt>
                <c:pt idx="532">
                  <c:v>-114.561712459025</c:v>
                </c:pt>
                <c:pt idx="533">
                  <c:v>-115.102612742446</c:v>
                </c:pt>
                <c:pt idx="534">
                  <c:v>-115.650336830791</c:v>
                </c:pt>
                <c:pt idx="535">
                  <c:v>-116.204822561037</c:v>
                </c:pt>
                <c:pt idx="536">
                  <c:v>-116.765996487265</c:v>
                </c:pt>
                <c:pt idx="537">
                  <c:v>-117.333773610899</c:v>
                </c:pt>
                <c:pt idx="538">
                  <c:v>-117.908057138429</c:v>
                </c:pt>
                <c:pt idx="539">
                  <c:v>-118.488738269813</c:v>
                </c:pt>
                <c:pt idx="540">
                  <c:v>-119.075696020705</c:v>
                </c:pt>
                <c:pt idx="541">
                  <c:v>-119.668797081657</c:v>
                </c:pt>
              </c:numCache>
            </c:numRef>
          </c:yVal>
          <c:smooth val="1"/>
        </c:ser>
        <c:dLbls>
          <c:showLegendKey val="0"/>
          <c:showVal val="0"/>
          <c:showCatName val="0"/>
          <c:showSerName val="0"/>
          <c:showPercent val="0"/>
          <c:showBubbleSize val="0"/>
        </c:dLbls>
        <c:axId val="175891584"/>
        <c:axId val="175889792"/>
      </c:scatterChart>
      <c:valAx>
        <c:axId val="175885696"/>
        <c:scaling>
          <c:logBase val="10"/>
          <c:orientation val="minMax"/>
          <c:max val="22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887872"/>
        <c:crosses val="autoZero"/>
        <c:crossBetween val="midCat"/>
      </c:valAx>
      <c:valAx>
        <c:axId val="175887872"/>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solidFill>
                      <a:srgbClr val="FF0000"/>
                    </a:solidFill>
                  </a:rPr>
                  <a:t>Gain</a:t>
                </a:r>
                <a:r>
                  <a:rPr lang="en-US" baseline="0">
                    <a:solidFill>
                      <a:srgbClr val="FF0000"/>
                    </a:solidFill>
                  </a:rPr>
                  <a:t> (dB)</a:t>
                </a:r>
                <a:endParaRPr lang="en-US">
                  <a:solidFill>
                    <a:srgbClr val="FF0000"/>
                  </a:solidFill>
                </a:endParaRPr>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0" i="0" u="none" strike="noStrike" kern="1200" baseline="0">
                <a:solidFill>
                  <a:srgbClr val="FF0000"/>
                </a:solidFill>
                <a:latin typeface="+mn-lt"/>
                <a:ea typeface="+mn-ea"/>
                <a:cs typeface="+mn-cs"/>
              </a:defRPr>
            </a:pPr>
          </a:p>
        </c:txPr>
        <c:crossAx val="175885696"/>
        <c:crosses val="autoZero"/>
        <c:crossBetween val="midCat"/>
        <c:majorUnit val="20"/>
        <c:minorUnit val="10"/>
      </c:valAx>
      <c:valAx>
        <c:axId val="175891584"/>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5889792"/>
        <c:crosses val="autoZero"/>
        <c:crossBetween val="midCat"/>
      </c:valAx>
      <c:valAx>
        <c:axId val="175889792"/>
        <c:scaling>
          <c:orientation val="minMax"/>
          <c:max val="180"/>
          <c:min val="-180"/>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lumMod val="95000"/>
                    <a:lumOff val="5000"/>
                  </a:schemeClr>
                </a:solidFill>
                <a:latin typeface="+mn-lt"/>
                <a:ea typeface="+mn-ea"/>
                <a:cs typeface="+mn-cs"/>
              </a:defRPr>
            </a:pPr>
          </a:p>
        </c:txPr>
        <c:crossAx val="175891584"/>
        <c:crosses val="max"/>
        <c:crossBetween val="midCat"/>
        <c:majorUnit val="90"/>
        <c:minorUnit val="45"/>
      </c:valAx>
    </c:plotArea>
    <c:plotVisOnly val="1"/>
    <c:dispBlanksAs val="gap"/>
    <c:showDLblsOverMax val="0"/>
    <c:extLst>
      <c:ext uri="{0b15fc19-7d7d-44ad-8c2d-2c3a37ce22c3}">
        <chartProps xmlns="https://web.wps.cn/et/2018/main" chartId="{eacd9145-f186-4656-9553-407a3899a6b8}"/>
      </c:ext>
    </c:extLst>
  </c:chart>
  <c:txPr>
    <a:bodyPr/>
    <a:lstStyle/>
    <a:p>
      <a:pPr>
        <a:defRPr lang="pl-PL"/>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a:t>DCM Plant Transfer</a:t>
            </a:r>
            <a:r>
              <a:rPr lang="en-US" baseline="0"/>
              <a:t> Function</a:t>
            </a:r>
            <a:endParaRPr lang="en-US"/>
          </a:p>
        </c:rich>
      </c:tx>
      <c:layout/>
      <c:overlay val="0"/>
    </c:title>
    <c:autoTitleDeleted val="0"/>
    <c:plotArea>
      <c:layout/>
      <c:scatterChart>
        <c:scatterStyle val="smooth"/>
        <c:varyColors val="0"/>
        <c:ser>
          <c:idx val="0"/>
          <c:order val="0"/>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Loop_Modeling!$AQ$19:$AQ$560</c:f>
              <c:numCache>
                <c:formatCode>General</c:formatCode>
                <c:ptCount val="542"/>
                <c:pt idx="0">
                  <c:v>50.2530116971545</c:v>
                </c:pt>
                <c:pt idx="1">
                  <c:v>50.252416671026</c:v>
                </c:pt>
                <c:pt idx="2">
                  <c:v>50.2517936896087</c:v>
                </c:pt>
                <c:pt idx="3">
                  <c:v>50.2511414438176</c:v>
                </c:pt>
                <c:pt idx="4">
                  <c:v>50.2504585636799</c:v>
                </c:pt>
                <c:pt idx="5">
                  <c:v>50.2497436155422</c:v>
                </c:pt>
                <c:pt idx="6">
                  <c:v>50.2489950991538</c:v>
                </c:pt>
                <c:pt idx="7">
                  <c:v>50.2482114446214</c:v>
                </c:pt>
                <c:pt idx="8">
                  <c:v>50.2473910092279</c:v>
                </c:pt>
                <c:pt idx="9">
                  <c:v>50.2465320741117</c:v>
                </c:pt>
                <c:pt idx="10">
                  <c:v>50.2456328407999</c:v>
                </c:pt>
                <c:pt idx="11">
                  <c:v>50.2446914275896</c:v>
                </c:pt>
                <c:pt idx="12">
                  <c:v>50.2437058657714</c:v>
                </c:pt>
                <c:pt idx="13">
                  <c:v>50.242674095689</c:v>
                </c:pt>
                <c:pt idx="14">
                  <c:v>50.2415939626275</c:v>
                </c:pt>
                <c:pt idx="15">
                  <c:v>50.2404632125254</c:v>
                </c:pt>
                <c:pt idx="16">
                  <c:v>50.2392794875023</c:v>
                </c:pt>
                <c:pt idx="17">
                  <c:v>50.2380403211953</c:v>
                </c:pt>
                <c:pt idx="18">
                  <c:v>50.236743133898</c:v>
                </c:pt>
                <c:pt idx="19">
                  <c:v>50.2353852274936</c:v>
                </c:pt>
                <c:pt idx="20">
                  <c:v>50.233963780175</c:v>
                </c:pt>
                <c:pt idx="21">
                  <c:v>50.2324758409454</c:v>
                </c:pt>
                <c:pt idx="22">
                  <c:v>50.2309183238894</c:v>
                </c:pt>
                <c:pt idx="23">
                  <c:v>50.2292880022088</c:v>
                </c:pt>
                <c:pt idx="24">
                  <c:v>50.2275815020141</c:v>
                </c:pt>
                <c:pt idx="25">
                  <c:v>50.2257952958637</c:v>
                </c:pt>
                <c:pt idx="26">
                  <c:v>50.2239256960431</c:v>
                </c:pt>
                <c:pt idx="27">
                  <c:v>50.2219688475749</c:v>
                </c:pt>
                <c:pt idx="28">
                  <c:v>50.2199207209528</c:v>
                </c:pt>
                <c:pt idx="29">
                  <c:v>50.21777710459</c:v>
                </c:pt>
                <c:pt idx="30">
                  <c:v>50.2155335969748</c:v>
                </c:pt>
                <c:pt idx="31">
                  <c:v>50.2131855985245</c:v>
                </c:pt>
                <c:pt idx="32">
                  <c:v>50.2107283031306</c:v>
                </c:pt>
                <c:pt idx="33">
                  <c:v>50.2081566893864</c:v>
                </c:pt>
                <c:pt idx="34">
                  <c:v>50.2054655114904</c:v>
                </c:pt>
                <c:pt idx="35">
                  <c:v>50.2026492898169</c:v>
                </c:pt>
                <c:pt idx="36">
                  <c:v>50.199702301149</c:v>
                </c:pt>
                <c:pt idx="37">
                  <c:v>50.196618568565</c:v>
                </c:pt>
                <c:pt idx="38">
                  <c:v>50.1933918509734</c:v>
                </c:pt>
                <c:pt idx="39">
                  <c:v>50.1900156322918</c:v>
                </c:pt>
                <c:pt idx="40">
                  <c:v>50.1864831102627</c:v>
                </c:pt>
                <c:pt idx="41">
                  <c:v>50.1827871849047</c:v>
                </c:pt>
                <c:pt idx="42">
                  <c:v>50.1789204465943</c:v>
                </c:pt>
                <c:pt idx="43">
                  <c:v>50.1748751637763</c:v>
                </c:pt>
                <c:pt idx="44">
                  <c:v>50.1706432703035</c:v>
                </c:pt>
                <c:pt idx="45">
                  <c:v>50.1662163524033</c:v>
                </c:pt>
                <c:pt idx="46">
                  <c:v>50.1615856352759</c:v>
                </c:pt>
                <c:pt idx="47">
                  <c:v>50.1567419693251</c:v>
                </c:pt>
                <c:pt idx="48">
                  <c:v>50.1516758160289</c:v>
                </c:pt>
                <c:pt idx="49">
                  <c:v>50.1463772334554</c:v>
                </c:pt>
                <c:pt idx="50">
                  <c:v>50.1408358614342</c:v>
                </c:pt>
                <c:pt idx="51">
                  <c:v>50.1350409063961</c:v>
                </c:pt>
                <c:pt idx="52">
                  <c:v>50.128981125893</c:v>
                </c:pt>
                <c:pt idx="53">
                  <c:v>50.1226448128185</c:v>
                </c:pt>
                <c:pt idx="54">
                  <c:v>50.1160197793462</c:v>
                </c:pt>
                <c:pt idx="55">
                  <c:v>50.1090933406136</c:v>
                </c:pt>
                <c:pt idx="56">
                  <c:v>50.1018522981757</c:v>
                </c:pt>
                <c:pt idx="57">
                  <c:v>50.0942829232622</c:v>
                </c:pt>
                <c:pt idx="58">
                  <c:v>50.0863709398725</c:v>
                </c:pt>
                <c:pt idx="59">
                  <c:v>50.078101507752</c:v>
                </c:pt>
                <c:pt idx="60">
                  <c:v>50.0694592052911</c:v>
                </c:pt>
                <c:pt idx="61">
                  <c:v>50.060428012402</c:v>
                </c:pt>
                <c:pt idx="62">
                  <c:v>50.0509912934267</c:v>
                </c:pt>
                <c:pt idx="63">
                  <c:v>50.041131780141</c:v>
                </c:pt>
                <c:pt idx="64">
                  <c:v>50.0308315549209</c:v>
                </c:pt>
                <c:pt idx="65">
                  <c:v>50.02007203415</c:v>
                </c:pt>
                <c:pt idx="66">
                  <c:v>50.0088339519474</c:v>
                </c:pt>
                <c:pt idx="67">
                  <c:v>49.9970973443074</c:v>
                </c:pt>
                <c:pt idx="68">
                  <c:v>49.9848415337485</c:v>
                </c:pt>
                <c:pt idx="69">
                  <c:v>49.9720451145765</c:v>
                </c:pt>
                <c:pt idx="70">
                  <c:v>49.9586859388741</c:v>
                </c:pt>
                <c:pt idx="71">
                  <c:v>49.9447411033403</c:v>
                </c:pt>
                <c:pt idx="72">
                  <c:v>49.9301869371081</c:v>
                </c:pt>
                <c:pt idx="73">
                  <c:v>49.9149989906787</c:v>
                </c:pt>
                <c:pt idx="74">
                  <c:v>49.8991520261205</c:v>
                </c:pt>
                <c:pt idx="75">
                  <c:v>49.8826200086853</c:v>
                </c:pt>
                <c:pt idx="76">
                  <c:v>49.8653761000082</c:v>
                </c:pt>
                <c:pt idx="77">
                  <c:v>49.8473926530597</c:v>
                </c:pt>
                <c:pt idx="78">
                  <c:v>49.8286412090296</c:v>
                </c:pt>
                <c:pt idx="79">
                  <c:v>49.8090924963287</c:v>
                </c:pt>
                <c:pt idx="80">
                  <c:v>49.7887164318993</c:v>
                </c:pt>
                <c:pt idx="81">
                  <c:v>49.7674821250324</c:v>
                </c:pt>
                <c:pt idx="82">
                  <c:v>49.745357883893</c:v>
                </c:pt>
                <c:pt idx="83">
                  <c:v>49.7223112249576</c:v>
                </c:pt>
                <c:pt idx="84">
                  <c:v>49.6983088855722</c:v>
                </c:pt>
                <c:pt idx="85">
                  <c:v>49.6733168398361</c:v>
                </c:pt>
                <c:pt idx="86">
                  <c:v>49.6473003180175</c:v>
                </c:pt>
                <c:pt idx="87">
                  <c:v>49.6202238297026</c:v>
                </c:pt>
                <c:pt idx="88">
                  <c:v>49.592051190874</c:v>
                </c:pt>
                <c:pt idx="89">
                  <c:v>49.5627455551064</c:v>
                </c:pt>
                <c:pt idx="90">
                  <c:v>49.5322694490554</c:v>
                </c:pt>
                <c:pt idx="91">
                  <c:v>49.5005848124039</c:v>
                </c:pt>
                <c:pt idx="92">
                  <c:v>49.467653042411</c:v>
                </c:pt>
                <c:pt idx="93">
                  <c:v>49.4334350431907</c:v>
                </c:pt>
                <c:pt idx="94">
                  <c:v>49.3978912798232</c:v>
                </c:pt>
                <c:pt idx="95">
                  <c:v>49.3609818373758</c:v>
                </c:pt>
                <c:pt idx="96">
                  <c:v>49.3226664848795</c:v>
                </c:pt>
                <c:pt idx="97">
                  <c:v>49.2829047442744</c:v>
                </c:pt>
                <c:pt idx="98">
                  <c:v>49.2416559643019</c:v>
                </c:pt>
                <c:pt idx="99">
                  <c:v>49.1988793992776</c:v>
                </c:pt>
                <c:pt idx="100">
                  <c:v>49.1545342926399</c:v>
                </c:pt>
                <c:pt idx="101">
                  <c:v>49.1085799651219</c:v>
                </c:pt>
                <c:pt idx="102">
                  <c:v>49.0609759073442</c:v>
                </c:pt>
                <c:pt idx="103">
                  <c:v>49.0116818765792</c:v>
                </c:pt>
                <c:pt idx="104">
                  <c:v>48.9606579973828</c:v>
                </c:pt>
                <c:pt idx="105">
                  <c:v>48.9078648657376</c:v>
                </c:pt>
                <c:pt idx="106">
                  <c:v>48.8532636562996</c:v>
                </c:pt>
                <c:pt idx="107">
                  <c:v>48.7968162322863</c:v>
                </c:pt>
                <c:pt idx="108">
                  <c:v>48.7384852574932</c:v>
                </c:pt>
                <c:pt idx="109">
                  <c:v>48.6782343098771</c:v>
                </c:pt>
                <c:pt idx="110">
                  <c:v>48.6160279960982</c:v>
                </c:pt>
                <c:pt idx="111">
                  <c:v>48.551832066368</c:v>
                </c:pt>
                <c:pt idx="112">
                  <c:v>48.4856135289189</c:v>
                </c:pt>
                <c:pt idx="113">
                  <c:v>48.4173407633694</c:v>
                </c:pt>
                <c:pt idx="114">
                  <c:v>48.3469836322452</c:v>
                </c:pt>
                <c:pt idx="115">
                  <c:v>48.2745135898864</c:v>
                </c:pt>
                <c:pt idx="116">
                  <c:v>48.1999037879723</c:v>
                </c:pt>
                <c:pt idx="117">
                  <c:v>48.1231291768838</c:v>
                </c:pt>
                <c:pt idx="118">
                  <c:v>48.0441666021384</c:v>
                </c:pt>
                <c:pt idx="119">
                  <c:v>47.9629948951455</c:v>
                </c:pt>
                <c:pt idx="120">
                  <c:v>47.8795949575591</c:v>
                </c:pt>
                <c:pt idx="121">
                  <c:v>47.7939498385385</c:v>
                </c:pt>
                <c:pt idx="122">
                  <c:v>47.7060448042762</c:v>
                </c:pt>
                <c:pt idx="123">
                  <c:v>47.6158673992034</c:v>
                </c:pt>
                <c:pt idx="124">
                  <c:v>47.5234074983505</c:v>
                </c:pt>
                <c:pt idx="125">
                  <c:v>47.4286573504066</c:v>
                </c:pt>
                <c:pt idx="126">
                  <c:v>47.3316116111018</c:v>
                </c:pt>
                <c:pt idx="127">
                  <c:v>47.2322673666195</c:v>
                </c:pt>
                <c:pt idx="128">
                  <c:v>47.1306241468312</c:v>
                </c:pt>
                <c:pt idx="129">
                  <c:v>47.0266839282395</c:v>
                </c:pt>
                <c:pt idx="130">
                  <c:v>46.9204511266055</c:v>
                </c:pt>
                <c:pt idx="131">
                  <c:v>46.8119325793313</c:v>
                </c:pt>
                <c:pt idx="132">
                  <c:v>46.7011375177585</c:v>
                </c:pt>
                <c:pt idx="133">
                  <c:v>46.5880775296344</c:v>
                </c:pt>
                <c:pt idx="134">
                  <c:v>46.4727665120821</c:v>
                </c:pt>
                <c:pt idx="135">
                  <c:v>46.3552206154908</c:v>
                </c:pt>
                <c:pt idx="136">
                  <c:v>46.2354581788197</c:v>
                </c:pt>
                <c:pt idx="137">
                  <c:v>46.1134996568699</c:v>
                </c:pt>
                <c:pt idx="138">
                  <c:v>45.9893675401457</c:v>
                </c:pt>
                <c:pt idx="139">
                  <c:v>45.8630862679693</c:v>
                </c:pt>
                <c:pt idx="140">
                  <c:v>45.7346821355592</c:v>
                </c:pt>
                <c:pt idx="141">
                  <c:v>45.6041831958115</c:v>
                </c:pt>
                <c:pt idx="142">
                  <c:v>45.4716191565458</c:v>
                </c:pt>
                <c:pt idx="143">
                  <c:v>45.3370212739914</c:v>
                </c:pt>
                <c:pt idx="144">
                  <c:v>45.2004222432889</c:v>
                </c:pt>
                <c:pt idx="145">
                  <c:v>45.0618560867813</c:v>
                </c:pt>
                <c:pt idx="146">
                  <c:v>44.9213580408502</c:v>
                </c:pt>
                <c:pt idx="147">
                  <c:v>44.7789644420352</c:v>
                </c:pt>
                <c:pt idx="148">
                  <c:v>44.634712613141</c:v>
                </c:pt>
                <c:pt idx="149">
                  <c:v>44.4886407500075</c:v>
                </c:pt>
                <c:pt idx="150">
                  <c:v>44.3407878095723</c:v>
                </c:pt>
                <c:pt idx="151">
                  <c:v>44.1911933998161</c:v>
                </c:pt>
                <c:pt idx="152">
                  <c:v>44.0398976721296</c:v>
                </c:pt>
                <c:pt idx="153">
                  <c:v>43.886941216593</c:v>
                </c:pt>
                <c:pt idx="154">
                  <c:v>43.7323649606031</c:v>
                </c:pt>
                <c:pt idx="155">
                  <c:v>43.5762100712384</c:v>
                </c:pt>
                <c:pt idx="156">
                  <c:v>43.4185178616874</c:v>
                </c:pt>
                <c:pt idx="157">
                  <c:v>43.259329702026</c:v>
                </c:pt>
                <c:pt idx="158">
                  <c:v>43.0986869345688</c:v>
                </c:pt>
                <c:pt idx="159">
                  <c:v>42.9366307939749</c:v>
                </c:pt>
                <c:pt idx="160">
                  <c:v>42.7732023322411</c:v>
                </c:pt>
                <c:pt idx="161">
                  <c:v>42.6084423486691</c:v>
                </c:pt>
                <c:pt idx="162">
                  <c:v>42.4423913248545</c:v>
                </c:pt>
                <c:pt idx="163">
                  <c:v>42.2750893647038</c:v>
                </c:pt>
                <c:pt idx="164">
                  <c:v>42.106576139454</c:v>
                </c:pt>
                <c:pt idx="165">
                  <c:v>41.9368908376364</c:v>
                </c:pt>
                <c:pt idx="166">
                  <c:v>41.7660721198949</c:v>
                </c:pt>
                <c:pt idx="167">
                  <c:v>41.5941580785514</c:v>
                </c:pt>
                <c:pt idx="168">
                  <c:v>41.4211862017817</c:v>
                </c:pt>
                <c:pt idx="169">
                  <c:v>41.247193342252</c:v>
                </c:pt>
                <c:pt idx="170">
                  <c:v>41.0722156900509</c:v>
                </c:pt>
                <c:pt idx="171">
                  <c:v>40.8962887497353</c:v>
                </c:pt>
                <c:pt idx="172">
                  <c:v>40.7194473213059</c:v>
                </c:pt>
                <c:pt idx="173">
                  <c:v>40.541725484914</c:v>
                </c:pt>
                <c:pt idx="174">
                  <c:v>40.3631565891037</c:v>
                </c:pt>
                <c:pt idx="175">
                  <c:v>40.1837732423843</c:v>
                </c:pt>
                <c:pt idx="176">
                  <c:v>40.0036073079332</c:v>
                </c:pt>
                <c:pt idx="177">
                  <c:v>39.8226899012276</c:v>
                </c:pt>
                <c:pt idx="178">
                  <c:v>39.6410513904059</c:v>
                </c:pt>
                <c:pt idx="179">
                  <c:v>39.458721399165</c:v>
                </c:pt>
                <c:pt idx="180">
                  <c:v>39.2757288120045</c:v>
                </c:pt>
                <c:pt idx="181">
                  <c:v>39.0921017816343</c:v>
                </c:pt>
                <c:pt idx="182">
                  <c:v>38.9078677383686</c:v>
                </c:pt>
                <c:pt idx="183">
                  <c:v>38.7230534013387</c:v>
                </c:pt>
                <c:pt idx="184">
                  <c:v>38.5376847913618</c:v>
                </c:pt>
                <c:pt idx="185">
                  <c:v>38.3517872453143</c:v>
                </c:pt>
                <c:pt idx="186">
                  <c:v>38.1653854318637</c:v>
                </c:pt>
                <c:pt idx="187">
                  <c:v>37.9785033684257</c:v>
                </c:pt>
                <c:pt idx="188">
                  <c:v>37.7911644392159</c:v>
                </c:pt>
                <c:pt idx="189">
                  <c:v>37.6033914142803</c:v>
                </c:pt>
                <c:pt idx="190">
                  <c:v>37.4152064693938</c:v>
                </c:pt>
                <c:pt idx="191">
                  <c:v>37.2266312067237</c:v>
                </c:pt>
                <c:pt idx="192">
                  <c:v>37.0376866761666</c:v>
                </c:pt>
                <c:pt idx="193">
                  <c:v>36.8483933972715</c:v>
                </c:pt>
                <c:pt idx="194">
                  <c:v>36.6587713816706</c:v>
                </c:pt>
                <c:pt idx="195">
                  <c:v>36.4688401559495</c:v>
                </c:pt>
                <c:pt idx="196">
                  <c:v>36.2786187848895</c:v>
                </c:pt>
                <c:pt idx="197">
                  <c:v>36.088125895027</c:v>
                </c:pt>
                <c:pt idx="198">
                  <c:v>35.8973796984789</c:v>
                </c:pt>
                <c:pt idx="199">
                  <c:v>35.7063980169873</c:v>
                </c:pt>
                <c:pt idx="200">
                  <c:v>35.515198306146</c:v>
                </c:pt>
                <c:pt idx="201">
                  <c:v>35.3237976797729</c:v>
                </c:pt>
                <c:pt idx="202">
                  <c:v>35.1322129343996</c:v>
                </c:pt>
                <c:pt idx="203">
                  <c:v>34.9404605738528</c:v>
                </c:pt>
                <c:pt idx="204">
                  <c:v>34.7485568339062</c:v>
                </c:pt>
                <c:pt idx="205">
                  <c:v>34.5565177069862</c:v>
                </c:pt>
                <c:pt idx="206">
                  <c:v>34.3643589669175</c:v>
                </c:pt>
                <c:pt idx="207">
                  <c:v>34.1720961936976</c:v>
                </c:pt>
                <c:pt idx="208">
                  <c:v>33.9797447982923</c:v>
                </c:pt>
                <c:pt idx="209">
                  <c:v>33.7873200474467</c:v>
                </c:pt>
                <c:pt idx="210">
                  <c:v>33.5948370885091</c:v>
                </c:pt>
                <c:pt idx="211">
                  <c:v>33.402310974264</c:v>
                </c:pt>
                <c:pt idx="212">
                  <c:v>33.2097566877781</c:v>
                </c:pt>
                <c:pt idx="213">
                  <c:v>33.017189167255</c:v>
                </c:pt>
                <c:pt idx="214">
                  <c:v>32.8246233309076</c:v>
                </c:pt>
                <c:pt idx="215">
                  <c:v>32.6320741018435</c:v>
                </c:pt>
                <c:pt idx="216">
                  <c:v>32.439556432974</c:v>
                </c:pt>
                <c:pt idx="217">
                  <c:v>32.2470853319436</c:v>
                </c:pt>
                <c:pt idx="218">
                  <c:v>32.0546758860881</c:v>
                </c:pt>
                <c:pt idx="219">
                  <c:v>31.8623432874206</c:v>
                </c:pt>
                <c:pt idx="220">
                  <c:v>31.6701028576493</c:v>
                </c:pt>
                <c:pt idx="221">
                  <c:v>31.4779700732263</c:v>
                </c:pt>
                <c:pt idx="222">
                  <c:v>31.2859605904298</c:v>
                </c:pt>
                <c:pt idx="223">
                  <c:v>31.0940902704731</c:v>
                </c:pt>
                <c:pt idx="224">
                  <c:v>30.9023752046416</c:v>
                </c:pt>
                <c:pt idx="225">
                  <c:v>30.7108317394472</c:v>
                </c:pt>
                <c:pt idx="226">
                  <c:v>30.519476501794</c:v>
                </c:pt>
                <c:pt idx="227">
                  <c:v>30.3283264241425</c:v>
                </c:pt>
                <c:pt idx="228">
                  <c:v>30.1373987696578</c:v>
                </c:pt>
                <c:pt idx="229">
                  <c:v>29.9467111573232</c:v>
                </c:pt>
                <c:pt idx="230">
                  <c:v>29.7562815869972</c:v>
                </c:pt>
                <c:pt idx="231">
                  <c:v>29.5661284643879</c:v>
                </c:pt>
                <c:pt idx="232">
                  <c:v>29.3762706259123</c:v>
                </c:pt>
                <c:pt idx="233">
                  <c:v>29.1867273634059</c:v>
                </c:pt>
                <c:pt idx="234">
                  <c:v>28.9975184486412</c:v>
                </c:pt>
                <c:pt idx="235">
                  <c:v>28.808664157607</c:v>
                </c:pt>
                <c:pt idx="236">
                  <c:v>28.620185294498</c:v>
                </c:pt>
                <c:pt idx="237">
                  <c:v>28.4321032153522</c:v>
                </c:pt>
                <c:pt idx="238">
                  <c:v>28.2444398512726</c:v>
                </c:pt>
                <c:pt idx="239">
                  <c:v>28.0572177311595</c:v>
                </c:pt>
                <c:pt idx="240">
                  <c:v>27.8704600038721</c:v>
                </c:pt>
                <c:pt idx="241">
                  <c:v>27.6841904597332</c:v>
                </c:pt>
                <c:pt idx="242">
                  <c:v>27.4984335512781</c:v>
                </c:pt>
                <c:pt idx="243">
                  <c:v>27.3132144131475</c:v>
                </c:pt>
                <c:pt idx="244">
                  <c:v>27.1285588810081</c:v>
                </c:pt>
                <c:pt idx="245">
                  <c:v>26.9444935093831</c:v>
                </c:pt>
                <c:pt idx="246">
                  <c:v>26.761045588261</c:v>
                </c:pt>
                <c:pt idx="247">
                  <c:v>26.5782431583465</c:v>
                </c:pt>
                <c:pt idx="248">
                  <c:v>26.3961150248064</c:v>
                </c:pt>
                <c:pt idx="249">
                  <c:v>26.2146907693568</c:v>
                </c:pt>
                <c:pt idx="250">
                  <c:v>26.0340007605281</c:v>
                </c:pt>
                <c:pt idx="251">
                  <c:v>25.8540761619397</c:v>
                </c:pt>
                <c:pt idx="252">
                  <c:v>25.6749489384063</c:v>
                </c:pt>
                <c:pt idx="253">
                  <c:v>25.4966518596941</c:v>
                </c:pt>
                <c:pt idx="254">
                  <c:v>25.3192185017381</c:v>
                </c:pt>
                <c:pt idx="255">
                  <c:v>25.1426832451276</c:v>
                </c:pt>
                <c:pt idx="256">
                  <c:v>24.9670812706665</c:v>
                </c:pt>
                <c:pt idx="257">
                  <c:v>24.792448551808</c:v>
                </c:pt>
                <c:pt idx="258">
                  <c:v>24.6188218437698</c:v>
                </c:pt>
                <c:pt idx="259">
                  <c:v>24.4462386691315</c:v>
                </c:pt>
                <c:pt idx="260">
                  <c:v>24.2747372997258</c:v>
                </c:pt>
                <c:pt idx="261">
                  <c:v>24.1043567346342</c:v>
                </c:pt>
                <c:pt idx="262">
                  <c:v>23.9351366741147</c:v>
                </c:pt>
                <c:pt idx="263">
                  <c:v>23.7671174892915</c:v>
                </c:pt>
                <c:pt idx="264">
                  <c:v>23.6003401874587</c:v>
                </c:pt>
                <c:pt idx="265">
                  <c:v>23.4348463728615</c:v>
                </c:pt>
                <c:pt idx="266">
                  <c:v>23.2706782028413</c:v>
                </c:pt>
                <c:pt idx="267">
                  <c:v>23.1078783392544</c:v>
                </c:pt>
                <c:pt idx="268">
                  <c:v>22.9464898951007</c:v>
                </c:pt>
                <c:pt idx="269">
                  <c:v>22.7865563763289</c:v>
                </c:pt>
                <c:pt idx="270">
                  <c:v>22.6281216188195</c:v>
                </c:pt>
                <c:pt idx="271">
                  <c:v>22.4712297205834</c:v>
                </c:pt>
                <c:pt idx="272">
                  <c:v>22.3159249692545</c:v>
                </c:pt>
                <c:pt idx="273">
                  <c:v>22.162251764997</c:v>
                </c:pt>
                <c:pt idx="274">
                  <c:v>22.010254538998</c:v>
                </c:pt>
                <c:pt idx="275">
                  <c:v>21.8599776677591</c:v>
                </c:pt>
                <c:pt idx="276">
                  <c:v>21.7114653834552</c:v>
                </c:pt>
                <c:pt idx="277">
                  <c:v>21.5647616806808</c:v>
                </c:pt>
                <c:pt idx="278">
                  <c:v>21.419910219953</c:v>
                </c:pt>
                <c:pt idx="279">
                  <c:v>21.2769542283984</c:v>
                </c:pt>
                <c:pt idx="280">
                  <c:v>21.1359363981004</c:v>
                </c:pt>
                <c:pt idx="281">
                  <c:v>20.9968987826347</c:v>
                </c:pt>
                <c:pt idx="282">
                  <c:v>20.8598826923705</c:v>
                </c:pt>
                <c:pt idx="283">
                  <c:v>20.7249285891617</c:v>
                </c:pt>
                <c:pt idx="284">
                  <c:v>20.5920759810905</c:v>
                </c:pt>
                <c:pt idx="285">
                  <c:v>20.4613633179663</c:v>
                </c:pt>
                <c:pt idx="286">
                  <c:v>20.3328278883124</c:v>
                </c:pt>
                <c:pt idx="287">
                  <c:v>20.2065057185965</c:v>
                </c:pt>
                <c:pt idx="288">
                  <c:v>20.0824314754797</c:v>
                </c:pt>
                <c:pt idx="289">
                  <c:v>19.9606383718649</c:v>
                </c:pt>
                <c:pt idx="290">
                  <c:v>19.8411580775283</c:v>
                </c:pt>
                <c:pt idx="291">
                  <c:v>19.7240206351052</c:v>
                </c:pt>
                <c:pt idx="292">
                  <c:v>19.609254382186</c:v>
                </c:pt>
                <c:pt idx="293">
                  <c:v>19.4968858802463</c:v>
                </c:pt>
                <c:pt idx="294">
                  <c:v>19.3869398510989</c:v>
                </c:pt>
                <c:pt idx="295">
                  <c:v>19.2794391215072</c:v>
                </c:pt>
                <c:pt idx="296">
                  <c:v>19.174404576543</c:v>
                </c:pt>
                <c:pt idx="297">
                  <c:v>19.0718551222045</c:v>
                </c:pt>
                <c:pt idx="298">
                  <c:v>18.9718076577421</c:v>
                </c:pt>
                <c:pt idx="299">
                  <c:v>18.8742770580519</c:v>
                </c:pt>
                <c:pt idx="300">
                  <c:v>18.779276166421</c:v>
                </c:pt>
                <c:pt idx="301">
                  <c:v>18.6868157978085</c:v>
                </c:pt>
                <c:pt idx="302">
                  <c:v>18.5969047527622</c:v>
                </c:pt>
                <c:pt idx="303">
                  <c:v>18.5095498419673</c:v>
                </c:pt>
                <c:pt idx="304">
                  <c:v>18.4247559213347</c:v>
                </c:pt>
                <c:pt idx="305">
                  <c:v>18.3425259374372</c:v>
                </c:pt>
                <c:pt idx="306">
                  <c:v>18.2628609830118</c:v>
                </c:pt>
                <c:pt idx="307">
                  <c:v>18.1857603621567</c:v>
                </c:pt>
                <c:pt idx="308">
                  <c:v>18.1112216647681</c:v>
                </c:pt>
                <c:pt idx="309">
                  <c:v>18.0392408496848</c:v>
                </c:pt>
                <c:pt idx="310">
                  <c:v>17.9698123359362</c:v>
                </c:pt>
                <c:pt idx="311">
                  <c:v>17.9029291014279</c:v>
                </c:pt>
                <c:pt idx="312">
                  <c:v>17.8385827883434</c:v>
                </c:pt>
                <c:pt idx="313">
                  <c:v>17.7767638144973</c:v>
                </c:pt>
                <c:pt idx="314">
                  <c:v>17.7174614898338</c:v>
                </c:pt>
                <c:pt idx="315">
                  <c:v>17.6606641372436</c:v>
                </c:pt>
                <c:pt idx="316">
                  <c:v>17.60635921685</c:v>
                </c:pt>
                <c:pt idx="317">
                  <c:v>17.5545334529053</c:v>
                </c:pt>
                <c:pt idx="318">
                  <c:v>17.505172962443</c:v>
                </c:pt>
                <c:pt idx="319">
                  <c:v>17.4582633848334</c:v>
                </c:pt>
                <c:pt idx="320">
                  <c:v>17.413790011407</c:v>
                </c:pt>
                <c:pt idx="321">
                  <c:v>17.3717379143333</c:v>
                </c:pt>
                <c:pt idx="322">
                  <c:v>17.3320920739662</c:v>
                </c:pt>
                <c:pt idx="323">
                  <c:v>17.2948375039025</c:v>
                </c:pt>
                <c:pt idx="324">
                  <c:v>17.2599593730361</c:v>
                </c:pt>
                <c:pt idx="325">
                  <c:v>17.2274431239268</c:v>
                </c:pt>
                <c:pt idx="326">
                  <c:v>17.1972745868506</c:v>
                </c:pt>
                <c:pt idx="327">
                  <c:v>17.1694400889374</c:v>
                </c:pt>
                <c:pt idx="328">
                  <c:v>17.1439265578493</c:v>
                </c:pt>
                <c:pt idx="329">
                  <c:v>17.1207216194983</c:v>
                </c:pt>
                <c:pt idx="330">
                  <c:v>17.099813689346</c:v>
                </c:pt>
                <c:pt idx="331">
                  <c:v>17.0811920568746</c:v>
                </c:pt>
                <c:pt idx="332">
                  <c:v>17.0648469628607</c:v>
                </c:pt>
                <c:pt idx="333">
                  <c:v>17.0507696691249</c:v>
                </c:pt>
                <c:pt idx="334">
                  <c:v>17.0389525204744</c:v>
                </c:pt>
                <c:pt idx="335">
                  <c:v>17.0293889985908</c:v>
                </c:pt>
                <c:pt idx="336">
                  <c:v>17.0220737676567</c:v>
                </c:pt>
                <c:pt idx="337">
                  <c:v>17.0170027115482</c:v>
                </c:pt>
                <c:pt idx="338">
                  <c:v>17.0141729624564</c:v>
                </c:pt>
                <c:pt idx="339">
                  <c:v>17.0135829208335</c:v>
                </c:pt>
                <c:pt idx="340">
                  <c:v>17.0152322665936</c:v>
                </c:pt>
                <c:pt idx="341">
                  <c:v>17.0191219615276</c:v>
                </c:pt>
                <c:pt idx="342">
                  <c:v>17.0252542429227</c:v>
                </c:pt>
                <c:pt idx="343">
                  <c:v>17.0336326084123</c:v>
                </c:pt>
                <c:pt idx="344">
                  <c:v>17.0442617921085</c:v>
                </c:pt>
                <c:pt idx="345">
                  <c:v>17.0571477321048</c:v>
                </c:pt>
                <c:pt idx="346">
                  <c:v>17.072297529467</c:v>
                </c:pt>
                <c:pt idx="347">
                  <c:v>17.0897193988676</c:v>
                </c:pt>
                <c:pt idx="348">
                  <c:v>17.1094226110512</c:v>
                </c:pt>
                <c:pt idx="349">
                  <c:v>17.1314174273561</c:v>
                </c:pt>
                <c:pt idx="350">
                  <c:v>17.155715026557</c:v>
                </c:pt>
                <c:pt idx="351">
                  <c:v>17.1823274243314</c:v>
                </c:pt>
                <c:pt idx="352">
                  <c:v>17.2112673856974</c:v>
                </c:pt>
                <c:pt idx="353">
                  <c:v>17.242548330808</c:v>
                </c:pt>
                <c:pt idx="354">
                  <c:v>17.2761842345382</c:v>
                </c:pt>
                <c:pt idx="355">
                  <c:v>17.3121895203393</c:v>
                </c:pt>
                <c:pt idx="356">
                  <c:v>17.3505789488858</c:v>
                </c:pt>
                <c:pt idx="357">
                  <c:v>17.3913675020817</c:v>
                </c:pt>
                <c:pt idx="358">
                  <c:v>17.4345702630405</c:v>
                </c:pt>
                <c:pt idx="359">
                  <c:v>17.4802022926933</c:v>
                </c:pt>
                <c:pt idx="360">
                  <c:v>17.5282785037251</c:v>
                </c:pt>
                <c:pt idx="361">
                  <c:v>17.5788135325723</c:v>
                </c:pt>
                <c:pt idx="362">
                  <c:v>17.6318216102547</c:v>
                </c:pt>
                <c:pt idx="363">
                  <c:v>17.6873164328394</c:v>
                </c:pt>
                <c:pt idx="364">
                  <c:v>17.7453110323639</c:v>
                </c:pt>
                <c:pt idx="365">
                  <c:v>17.8058176490617</c:v>
                </c:pt>
                <c:pt idx="366">
                  <c:v>17.8688476057438</c:v>
                </c:pt>
                <c:pt idx="367">
                  <c:v>17.9344111851973</c:v>
                </c:pt>
                <c:pt idx="368">
                  <c:v>18.0025175114535</c:v>
                </c:pt>
                <c:pt idx="369">
                  <c:v>18.0731744357681</c:v>
                </c:pt>
                <c:pt idx="370">
                  <c:v>18.1463884281316</c:v>
                </c:pt>
                <c:pt idx="371">
                  <c:v>18.222164475099</c:v>
                </c:pt>
                <c:pt idx="372">
                  <c:v>18.3005059846831</c:v>
                </c:pt>
                <c:pt idx="373">
                  <c:v>18.3814146990129</c:v>
                </c:pt>
                <c:pt idx="374">
                  <c:v>18.4648906153902</c:v>
                </c:pt>
                <c:pt idx="375">
                  <c:v>18.5509319163224</c:v>
                </c:pt>
                <c:pt idx="376">
                  <c:v>18.6395349090249</c:v>
                </c:pt>
                <c:pt idx="377">
                  <c:v>18.7306939748132</c:v>
                </c:pt>
                <c:pt idx="378">
                  <c:v>18.8244015287143</c:v>
                </c:pt>
                <c:pt idx="379">
                  <c:v>18.9206479895394</c:v>
                </c:pt>
                <c:pt idx="380">
                  <c:v>19.019421760564</c:v>
                </c:pt>
                <c:pt idx="381">
                  <c:v>19.1207092208678</c:v>
                </c:pt>
                <c:pt idx="382">
                  <c:v>19.2244947272897</c:v>
                </c:pt>
                <c:pt idx="383">
                  <c:v>19.3307606268613</c:v>
                </c:pt>
                <c:pt idx="384">
                  <c:v>19.4394872794866</c:v>
                </c:pt>
                <c:pt idx="385">
                  <c:v>19.5506530905512</c:v>
                </c:pt>
                <c:pt idx="386">
                  <c:v>19.6642345530586</c:v>
                </c:pt>
                <c:pt idx="387">
                  <c:v>19.7802062988155</c:v>
                </c:pt>
                <c:pt idx="388">
                  <c:v>19.898541158119</c:v>
                </c:pt>
                <c:pt idx="389">
                  <c:v>20.0192102273357</c:v>
                </c:pt>
                <c:pt idx="390">
                  <c:v>20.1421829437115</c:v>
                </c:pt>
                <c:pt idx="391">
                  <c:v>20.2674271667068</c:v>
                </c:pt>
                <c:pt idx="392">
                  <c:v>20.394909265119</c:v>
                </c:pt>
                <c:pt idx="393">
                  <c:v>20.5245942092277</c:v>
                </c:pt>
                <c:pt idx="394">
                  <c:v>20.6564456671875</c:v>
                </c:pt>
                <c:pt idx="395">
                  <c:v>20.7904261048851</c:v>
                </c:pt>
                <c:pt idx="396">
                  <c:v>20.9264968884823</c:v>
                </c:pt>
                <c:pt idx="397">
                  <c:v>21.0646183888809</c:v>
                </c:pt>
                <c:pt idx="398">
                  <c:v>21.2047500873623</c:v>
                </c:pt>
                <c:pt idx="399">
                  <c:v>21.3468506816866</c:v>
                </c:pt>
                <c:pt idx="400">
                  <c:v>21.4908781919659</c:v>
                </c:pt>
                <c:pt idx="401">
                  <c:v>21.6367900656682</c:v>
                </c:pt>
                <c:pt idx="402">
                  <c:v>21.7845432811508</c:v>
                </c:pt>
                <c:pt idx="403">
                  <c:v>21.934094449171</c:v>
                </c:pt>
                <c:pt idx="404">
                  <c:v>22.0853999118693</c:v>
                </c:pt>
                <c:pt idx="405">
                  <c:v>22.2384158387756</c:v>
                </c:pt>
                <c:pt idx="406">
                  <c:v>22.3930983194379</c:v>
                </c:pt>
                <c:pt idx="407">
                  <c:v>22.5494034523303</c:v>
                </c:pt>
                <c:pt idx="408">
                  <c:v>22.7072874297469</c:v>
                </c:pt>
                <c:pt idx="409">
                  <c:v>22.8667066184381</c:v>
                </c:pt>
                <c:pt idx="410">
                  <c:v>23.027617635802</c:v>
                </c:pt>
                <c:pt idx="411">
                  <c:v>23.1899774214834</c:v>
                </c:pt>
                <c:pt idx="412">
                  <c:v>23.3537433042823</c:v>
                </c:pt>
                <c:pt idx="413">
                  <c:v>23.518873064318</c:v>
                </c:pt>
                <c:pt idx="414">
                  <c:v>23.6853249904256</c:v>
                </c:pt>
                <c:pt idx="415">
                  <c:v>23.8530579328093</c:v>
                </c:pt>
                <c:pt idx="416">
                  <c:v>24.0220313509989</c:v>
                </c:pt>
                <c:pt idx="417">
                  <c:v>24.1922053571894</c:v>
                </c:pt>
                <c:pt idx="418">
                  <c:v>24.3635407550705</c:v>
                </c:pt>
                <c:pt idx="419">
                  <c:v>24.5359990742728</c:v>
                </c:pt>
                <c:pt idx="420">
                  <c:v>24.709542600574</c:v>
                </c:pt>
                <c:pt idx="421">
                  <c:v>24.8841344020319</c:v>
                </c:pt>
                <c:pt idx="422">
                  <c:v>25.0597383512152</c:v>
                </c:pt>
                <c:pt idx="423">
                  <c:v>25.2363191437187</c:v>
                </c:pt>
                <c:pt idx="424">
                  <c:v>25.4138423131559</c:v>
                </c:pt>
                <c:pt idx="425">
                  <c:v>25.5922742428254</c:v>
                </c:pt>
                <c:pt idx="426">
                  <c:v>25.7715821742533</c:v>
                </c:pt>
                <c:pt idx="427">
                  <c:v>25.9517342128118</c:v>
                </c:pt>
                <c:pt idx="428">
                  <c:v>26.1326993306174</c:v>
                </c:pt>
                <c:pt idx="429">
                  <c:v>26.3144473669055</c:v>
                </c:pt>
                <c:pt idx="430">
                  <c:v>26.4969490260786</c:v>
                </c:pt>
                <c:pt idx="431">
                  <c:v>26.6801758736185</c:v>
                </c:pt>
                <c:pt idx="432">
                  <c:v>26.864100330047</c:v>
                </c:pt>
                <c:pt idx="433">
                  <c:v>27.0486956631168</c:v>
                </c:pt>
                <c:pt idx="434">
                  <c:v>27.2339359784006</c:v>
                </c:pt>
                <c:pt idx="435">
                  <c:v>27.4197962084472</c:v>
                </c:pt>
                <c:pt idx="436">
                  <c:v>27.6062521006576</c:v>
                </c:pt>
                <c:pt idx="437">
                  <c:v>27.7932802040331</c:v>
                </c:pt>
                <c:pt idx="438">
                  <c:v>27.9808578549324</c:v>
                </c:pt>
                <c:pt idx="439">
                  <c:v>28.1689631619722</c:v>
                </c:pt>
                <c:pt idx="440">
                  <c:v>28.3575749901942</c:v>
                </c:pt>
                <c:pt idx="441">
                  <c:v>28.5466729446134</c:v>
                </c:pt>
                <c:pt idx="442">
                  <c:v>28.7362373532564</c:v>
                </c:pt>
                <c:pt idx="443">
                  <c:v>28.9262492497883</c:v>
                </c:pt>
                <c:pt idx="444">
                  <c:v>29.1166903558199</c:v>
                </c:pt>
                <c:pt idx="445">
                  <c:v>29.3075430629819</c:v>
                </c:pt>
                <c:pt idx="446">
                  <c:v>29.4987904148399</c:v>
                </c:pt>
                <c:pt idx="447">
                  <c:v>29.6904160887251</c:v>
                </c:pt>
                <c:pt idx="448">
                  <c:v>29.8824043775417</c:v>
                </c:pt>
                <c:pt idx="449">
                  <c:v>30.0747401716112</c:v>
                </c:pt>
                <c:pt idx="450">
                  <c:v>30.2674089406049</c:v>
                </c:pt>
                <c:pt idx="451">
                  <c:v>30.4603967156115</c:v>
                </c:pt>
                <c:pt idx="452">
                  <c:v>30.6536900713838</c:v>
                </c:pt>
                <c:pt idx="453">
                  <c:v>30.8472761087978</c:v>
                </c:pt>
                <c:pt idx="454">
                  <c:v>31.0411424375607</c:v>
                </c:pt>
                <c:pt idx="455">
                  <c:v>31.2352771591937</c:v>
                </c:pt>
                <c:pt idx="456">
                  <c:v>31.4296688503153</c:v>
                </c:pt>
                <c:pt idx="457">
                  <c:v>31.624306546247</c:v>
                </c:pt>
                <c:pt idx="458">
                  <c:v>31.8191797249567</c:v>
                </c:pt>
                <c:pt idx="459">
                  <c:v>32.0142782913585</c:v>
                </c:pt>
                <c:pt idx="460">
                  <c:v>32.2095925619773</c:v>
                </c:pt>
                <c:pt idx="461">
                  <c:v>32.4051132499903</c:v>
                </c:pt>
                <c:pt idx="462">
                  <c:v>32.6008314506518</c:v>
                </c:pt>
                <c:pt idx="463">
                  <c:v>32.7967386271069</c:v>
                </c:pt>
                <c:pt idx="464">
                  <c:v>32.992826596597</c:v>
                </c:pt>
                <c:pt idx="465">
                  <c:v>33.1890875170597</c:v>
                </c:pt>
                <c:pt idx="466">
                  <c:v>33.3855138741226</c:v>
                </c:pt>
                <c:pt idx="467">
                  <c:v>33.5820984684897</c:v>
                </c:pt>
                <c:pt idx="468">
                  <c:v>33.7788344037199</c:v>
                </c:pt>
                <c:pt idx="469">
                  <c:v>33.9757150743911</c:v>
                </c:pt>
                <c:pt idx="470">
                  <c:v>34.1727341546488</c:v>
                </c:pt>
                <c:pt idx="471">
                  <c:v>34.3698855871318</c:v>
                </c:pt>
                <c:pt idx="472">
                  <c:v>34.5671635722701</c:v>
                </c:pt>
                <c:pt idx="473">
                  <c:v>34.7645625579492</c:v>
                </c:pt>
                <c:pt idx="474">
                  <c:v>34.9620772295319</c:v>
                </c:pt>
                <c:pt idx="475">
                  <c:v>35.1597025002326</c:v>
                </c:pt>
                <c:pt idx="476">
                  <c:v>35.3574335018342</c:v>
                </c:pt>
                <c:pt idx="477">
                  <c:v>35.5552655757414</c:v>
                </c:pt>
                <c:pt idx="478">
                  <c:v>35.7531942643604</c:v>
                </c:pt>
                <c:pt idx="479">
                  <c:v>35.9512153027981</c:v>
                </c:pt>
                <c:pt idx="480">
                  <c:v>36.1493246108713</c:v>
                </c:pt>
                <c:pt idx="481">
                  <c:v>36.347518285417</c:v>
                </c:pt>
                <c:pt idx="482">
                  <c:v>36.5457925928963</c:v>
                </c:pt>
                <c:pt idx="483">
                  <c:v>36.7441439622821</c:v>
                </c:pt>
                <c:pt idx="484">
                  <c:v>36.9425689782218</c:v>
                </c:pt>
                <c:pt idx="485">
                  <c:v>37.1410643744678</c:v>
                </c:pt>
                <c:pt idx="486">
                  <c:v>37.3396270275655</c:v>
                </c:pt>
                <c:pt idx="487">
                  <c:v>37.5382539507911</c:v>
                </c:pt>
                <c:pt idx="488">
                  <c:v>37.7369422883318</c:v>
                </c:pt>
                <c:pt idx="489">
                  <c:v>37.9356893096978</c:v>
                </c:pt>
                <c:pt idx="490">
                  <c:v>38.1344924043609</c:v>
                </c:pt>
                <c:pt idx="491">
                  <c:v>38.3333490766096</c:v>
                </c:pt>
                <c:pt idx="492">
                  <c:v>38.5322569406141</c:v>
                </c:pt>
                <c:pt idx="493">
                  <c:v>38.7312137156934</c:v>
                </c:pt>
                <c:pt idx="494">
                  <c:v>38.9302172217767</c:v>
                </c:pt>
                <c:pt idx="495">
                  <c:v>39.1292653750523</c:v>
                </c:pt>
                <c:pt idx="496">
                  <c:v>39.3283561837979</c:v>
                </c:pt>
                <c:pt idx="497">
                  <c:v>39.5274877443831</c:v>
                </c:pt>
                <c:pt idx="498">
                  <c:v>39.7266582374399</c:v>
                </c:pt>
                <c:pt idx="499">
                  <c:v>39.9258659241938</c:v>
                </c:pt>
                <c:pt idx="500">
                  <c:v>40.1251091429492</c:v>
                </c:pt>
                <c:pt idx="501">
                  <c:v>40.3243863057226</c:v>
                </c:pt>
                <c:pt idx="502">
                  <c:v>40.5236958950199</c:v>
                </c:pt>
                <c:pt idx="503">
                  <c:v>40.7230364607488</c:v>
                </c:pt>
                <c:pt idx="504">
                  <c:v>40.9224066172637</c:v>
                </c:pt>
                <c:pt idx="505">
                  <c:v>41.1218050405367</c:v>
                </c:pt>
                <c:pt idx="506">
                  <c:v>41.3212304654501</c:v>
                </c:pt>
                <c:pt idx="507">
                  <c:v>41.5206816832037</c:v>
                </c:pt>
                <c:pt idx="508">
                  <c:v>41.7201575388345</c:v>
                </c:pt>
                <c:pt idx="509">
                  <c:v>41.9196569288445</c:v>
                </c:pt>
                <c:pt idx="510">
                  <c:v>42.1191787989282</c:v>
                </c:pt>
                <c:pt idx="511">
                  <c:v>42.3187221418009</c:v>
                </c:pt>
                <c:pt idx="512">
                  <c:v>42.5182859951194</c:v>
                </c:pt>
                <c:pt idx="513">
                  <c:v>42.7178694394947</c:v>
                </c:pt>
                <c:pt idx="514">
                  <c:v>42.9174715965895</c:v>
                </c:pt>
                <c:pt idx="515">
                  <c:v>43.1170916272989</c:v>
                </c:pt>
                <c:pt idx="516">
                  <c:v>43.3167287300121</c:v>
                </c:pt>
                <c:pt idx="517">
                  <c:v>43.5163821389474</c:v>
                </c:pt>
                <c:pt idx="518">
                  <c:v>43.7160511225625</c:v>
                </c:pt>
                <c:pt idx="519">
                  <c:v>43.9157349820324</c:v>
                </c:pt>
                <c:pt idx="520">
                  <c:v>44.1154330497961</c:v>
                </c:pt>
                <c:pt idx="521">
                  <c:v>44.3151446881651</c:v>
                </c:pt>
                <c:pt idx="522">
                  <c:v>44.5148692879946</c:v>
                </c:pt>
                <c:pt idx="523">
                  <c:v>44.7146062674122</c:v>
                </c:pt>
                <c:pt idx="524">
                  <c:v>44.9143550706036</c:v>
                </c:pt>
                <c:pt idx="525">
                  <c:v>45.1141151666506</c:v>
                </c:pt>
                <c:pt idx="526">
                  <c:v>45.3138860484217</c:v>
                </c:pt>
                <c:pt idx="527">
                  <c:v>45.5136672315104</c:v>
                </c:pt>
                <c:pt idx="528">
                  <c:v>45.7134582532218</c:v>
                </c:pt>
                <c:pt idx="529">
                  <c:v>45.9132586716029</c:v>
                </c:pt>
                <c:pt idx="530">
                  <c:v>46.1130680645164</c:v>
                </c:pt>
                <c:pt idx="531">
                  <c:v>46.3128860287559</c:v>
                </c:pt>
                <c:pt idx="532">
                  <c:v>46.512712179199</c:v>
                </c:pt>
                <c:pt idx="533">
                  <c:v>46.7125461479999</c:v>
                </c:pt>
                <c:pt idx="534">
                  <c:v>46.9123875838162</c:v>
                </c:pt>
                <c:pt idx="535">
                  <c:v>47.112236151071</c:v>
                </c:pt>
                <c:pt idx="536">
                  <c:v>47.3120915292473</c:v>
                </c:pt>
                <c:pt idx="537">
                  <c:v>47.5119534122141</c:v>
                </c:pt>
                <c:pt idx="538">
                  <c:v>47.7118215075827</c:v>
                </c:pt>
                <c:pt idx="539">
                  <c:v>47.9116955360909</c:v>
                </c:pt>
                <c:pt idx="540">
                  <c:v>48.1115752310152</c:v>
                </c:pt>
                <c:pt idx="541">
                  <c:v>48.3114603376094</c:v>
                </c:pt>
              </c:numCache>
            </c:numRef>
          </c:yVal>
          <c:smooth val="1"/>
        </c:ser>
        <c:dLbls>
          <c:showLegendKey val="0"/>
          <c:showVal val="0"/>
          <c:showCatName val="0"/>
          <c:showSerName val="0"/>
          <c:showPercent val="0"/>
          <c:showBubbleSize val="0"/>
        </c:dLbls>
        <c:axId val="178856704"/>
        <c:axId val="178858624"/>
      </c:scatterChart>
      <c:scatterChart>
        <c:scatterStyle val="smooth"/>
        <c:varyColors val="0"/>
        <c:ser>
          <c:idx val="1"/>
          <c:order val="1"/>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Loop_Modeling!$AR$19:$AR$560</c:f>
              <c:numCache>
                <c:formatCode>General</c:formatCode>
                <c:ptCount val="542"/>
                <c:pt idx="0">
                  <c:v>-3.04320462017276</c:v>
                </c:pt>
                <c:pt idx="1">
                  <c:v>-3.11394538253736</c:v>
                </c:pt>
                <c:pt idx="2">
                  <c:v>-3.18632359479893</c:v>
                </c:pt>
                <c:pt idx="3">
                  <c:v>-3.26037666357894</c:v>
                </c:pt>
                <c:pt idx="4">
                  <c:v>-3.33614281466653</c:v>
                </c:pt>
                <c:pt idx="5">
                  <c:v>-3.41366110841717</c:v>
                </c:pt>
                <c:pt idx="6">
                  <c:v>-3.49297145525162</c:v>
                </c:pt>
                <c:pt idx="7">
                  <c:v>-3.57411463124093</c:v>
                </c:pt>
                <c:pt idx="8">
                  <c:v>-3.65713229376</c:v>
                </c:pt>
                <c:pt idx="9">
                  <c:v>-3.7420669971909</c:v>
                </c:pt>
                <c:pt idx="10">
                  <c:v>-3.82896220865602</c:v>
                </c:pt>
                <c:pt idx="11">
                  <c:v>-3.91786232375875</c:v>
                </c:pt>
                <c:pt idx="12">
                  <c:v>-4.00881268230674</c:v>
                </c:pt>
                <c:pt idx="13">
                  <c:v>-4.10185958399236</c:v>
                </c:pt>
                <c:pt idx="14">
                  <c:v>-4.19705030400018</c:v>
                </c:pt>
                <c:pt idx="15">
                  <c:v>-4.29443310851182</c:v>
                </c:pt>
                <c:pt idx="16">
                  <c:v>-4.39405727007238</c:v>
                </c:pt>
                <c:pt idx="17">
                  <c:v>-4.49597308278352</c:v>
                </c:pt>
                <c:pt idx="18">
                  <c:v>-4.60023187728194</c:v>
                </c:pt>
                <c:pt idx="19">
                  <c:v>-4.70688603546143</c:v>
                </c:pt>
                <c:pt idx="20">
                  <c:v>-4.8159890048912</c:v>
                </c:pt>
                <c:pt idx="21">
                  <c:v>-4.92759531288126</c:v>
                </c:pt>
                <c:pt idx="22">
                  <c:v>-5.04176058014063</c:v>
                </c:pt>
                <c:pt idx="23">
                  <c:v>-5.15854153397046</c:v>
                </c:pt>
                <c:pt idx="24">
                  <c:v>-5.27799602092998</c:v>
                </c:pt>
                <c:pt idx="25">
                  <c:v>-5.40018301890861</c:v>
                </c:pt>
                <c:pt idx="26">
                  <c:v>-5.52516264853188</c:v>
                </c:pt>
                <c:pt idx="27">
                  <c:v>-5.65299618382546</c:v>
                </c:pt>
                <c:pt idx="28">
                  <c:v>-5.78374606205365</c:v>
                </c:pt>
                <c:pt idx="29">
                  <c:v>-5.91747589264637</c:v>
                </c:pt>
                <c:pt idx="30">
                  <c:v>-6.05425046511786</c:v>
                </c:pt>
                <c:pt idx="31">
                  <c:v>-6.19413575588033</c:v>
                </c:pt>
                <c:pt idx="32">
                  <c:v>-6.33719893384145</c:v>
                </c:pt>
                <c:pt idx="33">
                  <c:v>-6.48350836467581</c:v>
                </c:pt>
                <c:pt idx="34">
                  <c:v>-6.6331336136454</c:v>
                </c:pt>
                <c:pt idx="35">
                  <c:v>-6.78614544684259</c:v>
                </c:pt>
                <c:pt idx="36">
                  <c:v>-6.94261583071656</c:v>
                </c:pt>
                <c:pt idx="37">
                  <c:v>-7.10261792973917</c:v>
                </c:pt>
                <c:pt idx="38">
                  <c:v>-7.26622610205462</c:v>
                </c:pt>
                <c:pt idx="39">
                  <c:v>-7.43351589295064</c:v>
                </c:pt>
                <c:pt idx="40">
                  <c:v>-7.6045640259768</c:v>
                </c:pt>
                <c:pt idx="41">
                  <c:v>-7.77944839152895</c:v>
                </c:pt>
                <c:pt idx="42">
                  <c:v>-7.95824803270579</c:v>
                </c:pt>
                <c:pt idx="43">
                  <c:v>-8.14104312823434</c:v>
                </c:pt>
                <c:pt idx="44">
                  <c:v>-8.32791497225119</c:v>
                </c:pt>
                <c:pt idx="45">
                  <c:v>-8.51894595071384</c:v>
                </c:pt>
                <c:pt idx="46">
                  <c:v>-8.71421951420636</c:v>
                </c:pt>
                <c:pt idx="47">
                  <c:v>-8.91382014689228</c:v>
                </c:pt>
                <c:pt idx="48">
                  <c:v>-9.11783333135551</c:v>
                </c:pt>
                <c:pt idx="49">
                  <c:v>-9.32634550905891</c:v>
                </c:pt>
                <c:pt idx="50">
                  <c:v>-9.53944403613928</c:v>
                </c:pt>
                <c:pt idx="51">
                  <c:v>-9.75721713424505</c:v>
                </c:pt>
                <c:pt idx="52">
                  <c:v>-9.97975383611205</c:v>
                </c:pt>
                <c:pt idx="53">
                  <c:v>-10.2071439255621</c:v>
                </c:pt>
                <c:pt idx="54">
                  <c:v>-10.4394778715998</c:v>
                </c:pt>
                <c:pt idx="55">
                  <c:v>-10.6768467562685</c:v>
                </c:pt>
                <c:pt idx="56">
                  <c:v>-10.9193421959233</c:v>
                </c:pt>
                <c:pt idx="57">
                  <c:v>-11.1670562555661</c:v>
                </c:pt>
                <c:pt idx="58">
                  <c:v>-11.4200813558807</c:v>
                </c:pt>
                <c:pt idx="59">
                  <c:v>-11.6785101726025</c:v>
                </c:pt>
                <c:pt idx="60">
                  <c:v>-11.9424355278485</c:v>
                </c:pt>
                <c:pt idx="61">
                  <c:v>-12.2119502730351</c:v>
                </c:pt>
                <c:pt idx="62">
                  <c:v>-12.4871471630042</c:v>
                </c:pt>
                <c:pt idx="63">
                  <c:v>-12.7681187209867</c:v>
                </c:pt>
                <c:pt idx="64">
                  <c:v>-13.0549570940285</c:v>
                </c:pt>
                <c:pt idx="65">
                  <c:v>-13.3477538985166</c:v>
                </c:pt>
                <c:pt idx="66">
                  <c:v>-13.6466000554498</c:v>
                </c:pt>
                <c:pt idx="67">
                  <c:v>-13.9515856151139</c:v>
                </c:pt>
                <c:pt idx="68">
                  <c:v>-14.2627995708366</c:v>
                </c:pt>
                <c:pt idx="69">
                  <c:v>-14.5803296615205</c:v>
                </c:pt>
                <c:pt idx="70">
                  <c:v>-14.9042621626807</c:v>
                </c:pt>
                <c:pt idx="71">
                  <c:v>-15.2346816657422</c:v>
                </c:pt>
                <c:pt idx="72">
                  <c:v>-15.5716708453931</c:v>
                </c:pt>
                <c:pt idx="73">
                  <c:v>-15.9153102148315</c:v>
                </c:pt>
                <c:pt idx="74">
                  <c:v>-16.265677868796</c:v>
                </c:pt>
                <c:pt idx="75">
                  <c:v>-16.6228492143242</c:v>
                </c:pt>
                <c:pt idx="76">
                  <c:v>-16.986896689252</c:v>
                </c:pt>
                <c:pt idx="77">
                  <c:v>-17.3578894685361</c:v>
                </c:pt>
                <c:pt idx="78">
                  <c:v>-17.7358931585637</c:v>
                </c:pt>
                <c:pt idx="79">
                  <c:v>-18.1209694797017</c:v>
                </c:pt>
                <c:pt idx="80">
                  <c:v>-18.5131759374351</c:v>
                </c:pt>
                <c:pt idx="81">
                  <c:v>-18.9125654825509</c:v>
                </c:pt>
                <c:pt idx="82">
                  <c:v>-19.3191861609364</c:v>
                </c:pt>
                <c:pt idx="83">
                  <c:v>-19.7330807536856</c:v>
                </c:pt>
                <c:pt idx="84">
                  <c:v>-20.1542864083398</c:v>
                </c:pt>
                <c:pt idx="85">
                  <c:v>-20.5828342622205</c:v>
                </c:pt>
                <c:pt idx="86">
                  <c:v>-21.0187490589726</c:v>
                </c:pt>
                <c:pt idx="87">
                  <c:v>-21.4620487595735</c:v>
                </c:pt>
                <c:pt idx="88">
                  <c:v>-21.912744149236</c:v>
                </c:pt>
                <c:pt idx="89">
                  <c:v>-22.3708384417855</c:v>
                </c:pt>
                <c:pt idx="90">
                  <c:v>-22.8363268832693</c:v>
                </c:pt>
                <c:pt idx="91">
                  <c:v>-23.3091963567098</c:v>
                </c:pt>
                <c:pt idx="92">
                  <c:v>-23.7894249900978</c:v>
                </c:pt>
                <c:pt idx="93">
                  <c:v>-24.2769817698731</c:v>
                </c:pt>
                <c:pt idx="94">
                  <c:v>-24.7718261623056</c:v>
                </c:pt>
                <c:pt idx="95">
                  <c:v>-25.273907745346</c:v>
                </c:pt>
                <c:pt idx="96">
                  <c:v>-25.7831658536523</c:v>
                </c:pt>
                <c:pt idx="97">
                  <c:v>-26.299529239631</c:v>
                </c:pt>
                <c:pt idx="98">
                  <c:v>-26.8229157534438</c:v>
                </c:pt>
                <c:pt idx="99">
                  <c:v>-27.3532320450279</c:v>
                </c:pt>
                <c:pt idx="100">
                  <c:v>-27.8903732912401</c:v>
                </c:pt>
                <c:pt idx="101">
                  <c:v>-28.4342229512912</c:v>
                </c:pt>
                <c:pt idx="102">
                  <c:v>-28.9846525536394</c:v>
                </c:pt>
                <c:pt idx="103">
                  <c:v>-29.5415215175052</c:v>
                </c:pt>
                <c:pt idx="104">
                  <c:v>-30.1046770121081</c:v>
                </c:pt>
                <c:pt idx="105">
                  <c:v>-30.6739538566411</c:v>
                </c:pt>
                <c:pt idx="106">
                  <c:v>-31.2491744638585</c:v>
                </c:pt>
                <c:pt idx="107">
                  <c:v>-31.8301488299896</c:v>
                </c:pt>
                <c:pt idx="108">
                  <c:v>-32.416674573468</c:v>
                </c:pt>
                <c:pt idx="109">
                  <c:v>-33.0085370247029</c:v>
                </c:pt>
                <c:pt idx="110">
                  <c:v>-33.6055093688265</c:v>
                </c:pt>
                <c:pt idx="111">
                  <c:v>-34.2073528429949</c:v>
                </c:pt>
                <c:pt idx="112">
                  <c:v>-34.8138169894408</c:v>
                </c:pt>
                <c:pt idx="113">
                  <c:v>-35.4246399650578</c:v>
                </c:pt>
                <c:pt idx="114">
                  <c:v>-36.0395489078294</c:v>
                </c:pt>
                <c:pt idx="115">
                  <c:v>-36.6582603599514</c:v>
                </c:pt>
                <c:pt idx="116">
                  <c:v>-37.2804807469648</c:v>
                </c:pt>
                <c:pt idx="117">
                  <c:v>-37.9059069117235</c:v>
                </c:pt>
                <c:pt idx="118">
                  <c:v>-38.5342267014614</c:v>
                </c:pt>
                <c:pt idx="119">
                  <c:v>-39.1651196057114</c:v>
                </c:pt>
                <c:pt idx="120">
                  <c:v>-39.7982574422873</c:v>
                </c:pt>
                <c:pt idx="121">
                  <c:v>-40.4333050880402</c:v>
                </c:pt>
                <c:pt idx="122">
                  <c:v>-41.0699212505964</c:v>
                </c:pt>
                <c:pt idx="123">
                  <c:v>-41.7077592768462</c:v>
                </c:pt>
                <c:pt idx="124">
                  <c:v>-42.3464679935135</c:v>
                </c:pt>
                <c:pt idx="125">
                  <c:v>-42.9856925747851</c:v>
                </c:pt>
                <c:pt idx="126">
                  <c:v>-43.625075431647</c:v>
                </c:pt>
                <c:pt idx="127">
                  <c:v>-44.2642571173242</c:v>
                </c:pt>
                <c:pt idx="128">
                  <c:v>-44.9028772430313</c:v>
                </c:pt>
                <c:pt idx="129">
                  <c:v>-45.5405753981045</c:v>
                </c:pt>
                <c:pt idx="130">
                  <c:v>-46.1769920685462</c:v>
                </c:pt>
                <c:pt idx="131">
                  <c:v>-46.8117695480182</c:v>
                </c:pt>
                <c:pt idx="132">
                  <c:v>-47.4445528354199</c:v>
                </c:pt>
                <c:pt idx="133">
                  <c:v>-48.0749905133364</c:v>
                </c:pt>
                <c:pt idx="134">
                  <c:v>-48.7027356018722</c:v>
                </c:pt>
                <c:pt idx="135">
                  <c:v>-49.3274463826741</c:v>
                </c:pt>
                <c:pt idx="136">
                  <c:v>-49.9487871882841</c:v>
                </c:pt>
                <c:pt idx="137">
                  <c:v>-50.56642915237</c:v>
                </c:pt>
                <c:pt idx="138">
                  <c:v>-51.1800509168065</c:v>
                </c:pt>
                <c:pt idx="139">
                  <c:v>-51.7893392920649</c:v>
                </c:pt>
                <c:pt idx="140">
                  <c:v>-52.3939898678609</c:v>
                </c:pt>
                <c:pt idx="141">
                  <c:v>-52.9937075715379</c:v>
                </c:pt>
                <c:pt idx="142">
                  <c:v>-53.5882071721947</c:v>
                </c:pt>
                <c:pt idx="143">
                  <c:v>-54.1772137290895</c:v>
                </c:pt>
                <c:pt idx="144">
                  <c:v>-54.760462983395</c:v>
                </c:pt>
                <c:pt idx="145">
                  <c:v>-55.3377016928849</c:v>
                </c:pt>
                <c:pt idx="146">
                  <c:v>-55.9086879096294</c:v>
                </c:pt>
                <c:pt idx="147">
                  <c:v>-56.4731912012499</c:v>
                </c:pt>
                <c:pt idx="148">
                  <c:v>-57.0309928167195</c:v>
                </c:pt>
                <c:pt idx="149">
                  <c:v>-57.5818857981023</c:v>
                </c:pt>
                <c:pt idx="150">
                  <c:v>-58.1256750399884</c:v>
                </c:pt>
                <c:pt idx="151">
                  <c:v>-58.6621772987098</c:v>
                </c:pt>
                <c:pt idx="152">
                  <c:v>-59.1912211536965</c:v>
                </c:pt>
                <c:pt idx="153">
                  <c:v>-59.7126469235813</c:v>
                </c:pt>
                <c:pt idx="154">
                  <c:v>-60.226306539851</c:v>
                </c:pt>
                <c:pt idx="155">
                  <c:v>-60.7320633809934</c:v>
                </c:pt>
                <c:pt idx="156">
                  <c:v>-61.2297920702075</c:v>
                </c:pt>
                <c:pt idx="157">
                  <c:v>-61.7193782398101</c:v>
                </c:pt>
                <c:pt idx="158">
                  <c:v>-62.2007182655143</c:v>
                </c:pt>
                <c:pt idx="159">
                  <c:v>-62.6737189737494</c:v>
                </c:pt>
                <c:pt idx="160">
                  <c:v>-63.1382973251687</c:v>
                </c:pt>
                <c:pt idx="161">
                  <c:v>-63.5943800774341</c:v>
                </c:pt>
                <c:pt idx="162">
                  <c:v>-64.0419034302759</c:v>
                </c:pt>
                <c:pt idx="163">
                  <c:v>-64.4808126557363</c:v>
                </c:pt>
                <c:pt idx="164">
                  <c:v>-64.911061716373</c:v>
                </c:pt>
                <c:pt idx="165">
                  <c:v>-65.332612874067</c:v>
                </c:pt>
                <c:pt idx="166">
                  <c:v>-65.745436291933</c:v>
                </c:pt>
                <c:pt idx="167">
                  <c:v>-66.1495096316738</c:v>
                </c:pt>
                <c:pt idx="168">
                  <c:v>-66.5448176485511</c:v>
                </c:pt>
                <c:pt idx="169">
                  <c:v>-66.9313517859911</c:v>
                </c:pt>
                <c:pt idx="170">
                  <c:v>-67.3091097716671</c:v>
                </c:pt>
                <c:pt idx="171">
                  <c:v>-67.6780952167338</c:v>
                </c:pt>
                <c:pt idx="172">
                  <c:v>-68.0383172197314</c:v>
                </c:pt>
                <c:pt idx="173">
                  <c:v>-68.3897899765097</c:v>
                </c:pt>
                <c:pt idx="174">
                  <c:v>-68.7325323973718</c:v>
                </c:pt>
                <c:pt idx="175">
                  <c:v>-69.0665677324833</c:v>
                </c:pt>
                <c:pt idx="176">
                  <c:v>-69.3919232064585</c:v>
                </c:pt>
                <c:pt idx="177">
                  <c:v>-69.7086296628915</c:v>
                </c:pt>
                <c:pt idx="178">
                  <c:v>-70.0167212194831</c:v>
                </c:pt>
                <c:pt idx="179">
                  <c:v>-70.3162349342899</c:v>
                </c:pt>
                <c:pt idx="180">
                  <c:v>-70.6072104835176</c:v>
                </c:pt>
                <c:pt idx="181">
                  <c:v>-70.8896898511792</c:v>
                </c:pt>
                <c:pt idx="182">
                  <c:v>-71.1637170308459</c:v>
                </c:pt>
                <c:pt idx="183">
                  <c:v>-71.4293377396386</c:v>
                </c:pt>
                <c:pt idx="184">
                  <c:v>-71.6865991445306</c:v>
                </c:pt>
                <c:pt idx="185">
                  <c:v>-71.9355496009673</c:v>
                </c:pt>
                <c:pt idx="186">
                  <c:v>-72.17623840375</c:v>
                </c:pt>
                <c:pt idx="187">
                  <c:v>-72.4087155500775</c:v>
                </c:pt>
                <c:pt idx="188">
                  <c:v>-72.6330315145961</c:v>
                </c:pt>
                <c:pt idx="189">
                  <c:v>-72.8492370362726</c:v>
                </c:pt>
                <c:pt idx="190">
                  <c:v>-73.0573829168669</c:v>
                </c:pt>
                <c:pt idx="191">
                  <c:v>-73.2575198307619</c:v>
                </c:pt>
                <c:pt idx="192">
                  <c:v>-73.4496981458805</c:v>
                </c:pt>
                <c:pt idx="193">
                  <c:v>-73.63396775541</c:v>
                </c:pt>
                <c:pt idx="194">
                  <c:v>-73.8103779200344</c:v>
                </c:pt>
                <c:pt idx="195">
                  <c:v>-73.9789771203758</c:v>
                </c:pt>
                <c:pt idx="196">
                  <c:v>-74.1398129193358</c:v>
                </c:pt>
                <c:pt idx="197">
                  <c:v>-74.2929318340282</c:v>
                </c:pt>
                <c:pt idx="198">
                  <c:v>-74.4383792169997</c:v>
                </c:pt>
                <c:pt idx="199">
                  <c:v>-74.5761991464355</c:v>
                </c:pt>
                <c:pt idx="200">
                  <c:v>-74.7064343250574</c:v>
                </c:pt>
                <c:pt idx="201">
                  <c:v>-74.8291259874295</c:v>
                </c:pt>
                <c:pt idx="202">
                  <c:v>-74.9443138153987</c:v>
                </c:pt>
                <c:pt idx="203">
                  <c:v>-75.0520358614103</c:v>
                </c:pt>
                <c:pt idx="204">
                  <c:v>-75.1523284794517</c:v>
                </c:pt>
                <c:pt idx="205">
                  <c:v>-75.2452262633952</c:v>
                </c:pt>
                <c:pt idx="206">
                  <c:v>-75.3307619925263</c:v>
                </c:pt>
                <c:pt idx="207">
                  <c:v>-75.4089665840613</c:v>
                </c:pt>
                <c:pt idx="208">
                  <c:v>-75.4798690524771</c:v>
                </c:pt>
                <c:pt idx="209">
                  <c:v>-75.5434964754957</c:v>
                </c:pt>
                <c:pt idx="210">
                  <c:v>-75.5998739665844</c:v>
                </c:pt>
                <c:pt idx="211">
                  <c:v>-75.649024653855</c:v>
                </c:pt>
                <c:pt idx="212">
                  <c:v>-75.6909696652622</c:v>
                </c:pt>
                <c:pt idx="213">
                  <c:v>-75.725728120028</c:v>
                </c:pt>
                <c:pt idx="214">
                  <c:v>-75.7533171262348</c:v>
                </c:pt>
                <c:pt idx="215">
                  <c:v>-75.7737517845539</c:v>
                </c:pt>
                <c:pt idx="216">
                  <c:v>-75.7870451980972</c:v>
                </c:pt>
                <c:pt idx="217">
                  <c:v>-75.7932084884025</c:v>
                </c:pt>
                <c:pt idx="218">
                  <c:v>-75.7922508175808</c:v>
                </c:pt>
                <c:pt idx="219">
                  <c:v>-75.7841794166794</c:v>
                </c:pt>
                <c:pt idx="220">
                  <c:v>-75.7689996203345</c:v>
                </c:pt>
                <c:pt idx="221">
                  <c:v>-75.7467149078062</c:v>
                </c:pt>
                <c:pt idx="222">
                  <c:v>-75.7173269505125</c:v>
                </c:pt>
                <c:pt idx="223">
                  <c:v>-75.680835666197</c:v>
                </c:pt>
                <c:pt idx="224">
                  <c:v>-75.6372392798867</c:v>
                </c:pt>
                <c:pt idx="225">
                  <c:v>-75.5865343918133</c:v>
                </c:pt>
                <c:pt idx="226">
                  <c:v>-75.5287160524929</c:v>
                </c:pt>
                <c:pt idx="227">
                  <c:v>-75.4637778451749</c:v>
                </c:pt>
                <c:pt idx="228">
                  <c:v>-75.3917119758885</c:v>
                </c:pt>
                <c:pt idx="229">
                  <c:v>-75.3125093713315</c:v>
                </c:pt>
                <c:pt idx="230">
                  <c:v>-75.2261597848605</c:v>
                </c:pt>
                <c:pt idx="231">
                  <c:v>-75.1326519108539</c:v>
                </c:pt>
                <c:pt idx="232">
                  <c:v>-75.0319735077345</c:v>
                </c:pt>
                <c:pt idx="233">
                  <c:v>-74.9241115299425</c:v>
                </c:pt>
                <c:pt idx="234">
                  <c:v>-74.8090522691641</c:v>
                </c:pt>
                <c:pt idx="235">
                  <c:v>-74.6867815051204</c:v>
                </c:pt>
                <c:pt idx="236">
                  <c:v>-74.5572846662301</c:v>
                </c:pt>
                <c:pt idx="237">
                  <c:v>-74.4205470004541</c:v>
                </c:pt>
                <c:pt idx="238">
                  <c:v>-74.2765537566318</c:v>
                </c:pt>
                <c:pt idx="239">
                  <c:v>-74.1252903766079</c:v>
                </c:pt>
                <c:pt idx="240">
                  <c:v>-73.9667426984428</c:v>
                </c:pt>
                <c:pt idx="241">
                  <c:v>-73.8008971709792</c:v>
                </c:pt>
                <c:pt idx="242">
                  <c:v>-73.6277410800235</c:v>
                </c:pt>
                <c:pt idx="243">
                  <c:v>-73.447262786372</c:v>
                </c:pt>
                <c:pt idx="244">
                  <c:v>-73.2594519758826</c:v>
                </c:pt>
                <c:pt idx="245">
                  <c:v>-73.0642999217592</c:v>
                </c:pt>
                <c:pt idx="246">
                  <c:v>-72.8617997591689</c:v>
                </c:pt>
                <c:pt idx="247">
                  <c:v>-72.6519467722662</c:v>
                </c:pt>
                <c:pt idx="248">
                  <c:v>-72.4347386936412</c:v>
                </c:pt>
                <c:pt idx="249">
                  <c:v>-72.2101760161443</c:v>
                </c:pt>
                <c:pt idx="250">
                  <c:v>-71.9782623169668</c:v>
                </c:pt>
                <c:pt idx="251">
                  <c:v>-71.7390045937782</c:v>
                </c:pt>
                <c:pt idx="252">
                  <c:v>-71.4924136126321</c:v>
                </c:pt>
                <c:pt idx="253">
                  <c:v>-71.2385042672532</c:v>
                </c:pt>
                <c:pt idx="254">
                  <c:v>-70.9772959492125</c:v>
                </c:pt>
                <c:pt idx="255">
                  <c:v>-70.708812928384</c:v>
                </c:pt>
                <c:pt idx="256">
                  <c:v>-70.4330847429507</c:v>
                </c:pt>
                <c:pt idx="257">
                  <c:v>-70.1501465980953</c:v>
                </c:pt>
                <c:pt idx="258">
                  <c:v>-69.8600397723708</c:v>
                </c:pt>
                <c:pt idx="259">
                  <c:v>-69.5628120306014</c:v>
                </c:pt>
                <c:pt idx="260">
                  <c:v>-69.258518042003</c:v>
                </c:pt>
                <c:pt idx="261">
                  <c:v>-68.9472198020605</c:v>
                </c:pt>
                <c:pt idx="262">
                  <c:v>-68.6289870565271</c:v>
                </c:pt>
                <c:pt idx="263">
                  <c:v>-68.303897725747</c:v>
                </c:pt>
                <c:pt idx="264">
                  <c:v>-67.9720383273325</c:v>
                </c:pt>
                <c:pt idx="265">
                  <c:v>-67.6335043950573</c:v>
                </c:pt>
                <c:pt idx="266">
                  <c:v>-67.288400891659</c:v>
                </c:pt>
                <c:pt idx="267">
                  <c:v>-66.936842613087</c:v>
                </c:pt>
                <c:pt idx="268">
                  <c:v>-66.578954581572</c:v>
                </c:pt>
                <c:pt idx="269">
                  <c:v>-66.2148724247539</c:v>
                </c:pt>
                <c:pt idx="270">
                  <c:v>-65.844742737971</c:v>
                </c:pt>
                <c:pt idx="271">
                  <c:v>-65.4687234267001</c:v>
                </c:pt>
                <c:pt idx="272">
                  <c:v>-65.0869840260463</c:v>
                </c:pt>
                <c:pt idx="273">
                  <c:v>-64.6997059941003</c:v>
                </c:pt>
                <c:pt idx="274">
                  <c:v>-64.3070829759481</c:v>
                </c:pt>
                <c:pt idx="275">
                  <c:v>-63.9093210350926</c:v>
                </c:pt>
                <c:pt idx="276">
                  <c:v>-63.5066388490673</c:v>
                </c:pt>
                <c:pt idx="277">
                  <c:v>-63.0992678660778</c:v>
                </c:pt>
                <c:pt idx="278">
                  <c:v>-62.6874524195924</c:v>
                </c:pt>
                <c:pt idx="279">
                  <c:v>-62.2714497979348</c:v>
                </c:pt>
                <c:pt idx="280">
                  <c:v>-61.8515302661107</c:v>
                </c:pt>
                <c:pt idx="281">
                  <c:v>-61.4279770373057</c:v>
                </c:pt>
                <c:pt idx="282">
                  <c:v>-61.0010861917577</c:v>
                </c:pt>
                <c:pt idx="283">
                  <c:v>-60.5711665410072</c:v>
                </c:pt>
                <c:pt idx="284">
                  <c:v>-60.1385394358654</c:v>
                </c:pt>
                <c:pt idx="285">
                  <c:v>-59.7035385168335</c:v>
                </c:pt>
                <c:pt idx="286">
                  <c:v>-59.2665094061085</c:v>
                </c:pt>
                <c:pt idx="287">
                  <c:v>-58.8278093407794</c:v>
                </c:pt>
                <c:pt idx="288">
                  <c:v>-58.3878067472777</c:v>
                </c:pt>
                <c:pt idx="289">
                  <c:v>-57.94688075766</c:v>
                </c:pt>
                <c:pt idx="290">
                  <c:v>-57.5054206688053</c:v>
                </c:pt>
                <c:pt idx="291">
                  <c:v>-57.0638253461371</c:v>
                </c:pt>
                <c:pt idx="292">
                  <c:v>-56.6225025740045</c:v>
                </c:pt>
                <c:pt idx="293">
                  <c:v>-56.1818683553683</c:v>
                </c:pt>
                <c:pt idx="294">
                  <c:v>-55.7423461639403</c:v>
                </c:pt>
                <c:pt idx="295">
                  <c:v>-55.3043661524009</c:v>
                </c:pt>
                <c:pt idx="296">
                  <c:v>-54.8683643207592</c:v>
                </c:pt>
                <c:pt idx="297">
                  <c:v>-54.4347816493216</c:v>
                </c:pt>
                <c:pt idx="298">
                  <c:v>-54.004063201097</c:v>
                </c:pt>
                <c:pt idx="299">
                  <c:v>-53.5766571987519</c:v>
                </c:pt>
                <c:pt idx="300">
                  <c:v>-53.1530140814824</c:v>
                </c:pt>
                <c:pt idx="301">
                  <c:v>-52.7335855473343</c:v>
                </c:pt>
                <c:pt idx="302">
                  <c:v>-52.3188235866138</c:v>
                </c:pt>
                <c:pt idx="303">
                  <c:v>-51.9091795120615</c:v>
                </c:pt>
                <c:pt idx="304">
                  <c:v>-51.5051029914325</c:v>
                </c:pt>
                <c:pt idx="305">
                  <c:v>-51.107041088011</c:v>
                </c:pt>
                <c:pt idx="306">
                  <c:v>-50.7154373144198</c:v>
                </c:pt>
                <c:pt idx="307">
                  <c:v>-50.3307307048345</c:v>
                </c:pt>
                <c:pt idx="308">
                  <c:v>-49.9533549104227</c:v>
                </c:pt>
                <c:pt idx="309">
                  <c:v>-49.583737322451</c:v>
                </c:pt>
                <c:pt idx="310">
                  <c:v>-49.2222982271239</c:v>
                </c:pt>
                <c:pt idx="311">
                  <c:v>-48.8694499957436</c:v>
                </c:pt>
                <c:pt idx="312">
                  <c:v>-48.5255963133171</c:v>
                </c:pt>
                <c:pt idx="313">
                  <c:v>-48.1911314482269</c:v>
                </c:pt>
                <c:pt idx="314">
                  <c:v>-47.866439565057</c:v>
                </c:pt>
                <c:pt idx="315">
                  <c:v>-47.5518940821441</c:v>
                </c:pt>
                <c:pt idx="316">
                  <c:v>-47.2478570748888</c:v>
                </c:pt>
                <c:pt idx="317">
                  <c:v>-46.9546787253549</c:v>
                </c:pt>
                <c:pt idx="318">
                  <c:v>-46.6726968181692</c:v>
                </c:pt>
                <c:pt idx="319">
                  <c:v>-46.4022362822764</c:v>
                </c:pt>
                <c:pt idx="320">
                  <c:v>-46.1436087776402</c:v>
                </c:pt>
                <c:pt idx="321">
                  <c:v>-45.8971123255869</c:v>
                </c:pt>
                <c:pt idx="322">
                  <c:v>-45.6630309811074</c:v>
                </c:pt>
                <c:pt idx="323">
                  <c:v>-45.4416345451183</c:v>
                </c:pt>
                <c:pt idx="324">
                  <c:v>-45.2331783143969</c:v>
                </c:pt>
                <c:pt idx="325">
                  <c:v>-45.0379028666868</c:v>
                </c:pt>
                <c:pt idx="326">
                  <c:v>-44.8560338782831</c:v>
                </c:pt>
                <c:pt idx="327">
                  <c:v>-44.687781971287</c:v>
                </c:pt>
                <c:pt idx="328">
                  <c:v>-44.5333425876373</c:v>
                </c:pt>
                <c:pt idx="329">
                  <c:v>-44.392895887001</c:v>
                </c:pt>
                <c:pt idx="330">
                  <c:v>-44.2666066656262</c:v>
                </c:pt>
                <c:pt idx="331">
                  <c:v>-44.1546242933179</c:v>
                </c:pt>
                <c:pt idx="332">
                  <c:v>-44.0570826658144</c:v>
                </c:pt>
                <c:pt idx="333">
                  <c:v>-43.974100169978</c:v>
                </c:pt>
                <c:pt idx="334">
                  <c:v>-43.905779659404</c:v>
                </c:pt>
                <c:pt idx="335">
                  <c:v>-43.8522084382627</c:v>
                </c:pt>
                <c:pt idx="336">
                  <c:v>-43.8134582514329</c:v>
                </c:pt>
                <c:pt idx="337">
                  <c:v>-43.7895852792581</c:v>
                </c:pt>
                <c:pt idx="338">
                  <c:v>-43.7806301355413</c:v>
                </c:pt>
                <c:pt idx="339">
                  <c:v>-43.7866178677066</c:v>
                </c:pt>
                <c:pt idx="340">
                  <c:v>-43.8075579583737</c:v>
                </c:pt>
                <c:pt idx="341">
                  <c:v>-43.8434443279201</c:v>
                </c:pt>
                <c:pt idx="342">
                  <c:v>-43.8942553379442</c:v>
                </c:pt>
                <c:pt idx="343">
                  <c:v>-43.959953795876</c:v>
                </c:pt>
                <c:pt idx="344">
                  <c:v>-44.0404869613133</c:v>
                </c:pt>
                <c:pt idx="345">
                  <c:v>-44.1357865549928</c:v>
                </c:pt>
                <c:pt idx="346">
                  <c:v>-44.2457687716134</c:v>
                </c:pt>
                <c:pt idx="347">
                  <c:v>-44.370334298036</c:v>
                </c:pt>
                <c:pt idx="348">
                  <c:v>-44.5093683386581</c:v>
                </c:pt>
                <c:pt idx="349">
                  <c:v>-44.6627406500249</c:v>
                </c:pt>
                <c:pt idx="350">
                  <c:v>-44.8303055869665</c:v>
                </c:pt>
                <c:pt idx="351">
                  <c:v>-45.0119021627521</c:v>
                </c:pt>
                <c:pt idx="352">
                  <c:v>-45.2073541259174</c:v>
                </c:pt>
                <c:pt idx="353">
                  <c:v>-45.4164700565513</c:v>
                </c:pt>
                <c:pt idx="354">
                  <c:v>-45.6390434849149</c:v>
                </c:pt>
                <c:pt idx="355">
                  <c:v>-45.8748530353078</c:v>
                </c:pt>
                <c:pt idx="356">
                  <c:v>-46.1236625980982</c:v>
                </c:pt>
                <c:pt idx="357">
                  <c:v>-46.3852215327794</c:v>
                </c:pt>
                <c:pt idx="358">
                  <c:v>-46.6592649048169</c:v>
                </c:pt>
                <c:pt idx="359">
                  <c:v>-46.9455137588989</c:v>
                </c:pt>
                <c:pt idx="360">
                  <c:v>-47.2436754310032</c:v>
                </c:pt>
                <c:pt idx="361">
                  <c:v>-47.5534439014431</c:v>
                </c:pt>
                <c:pt idx="362">
                  <c:v>-47.8745001907501</c:v>
                </c:pt>
                <c:pt idx="363">
                  <c:v>-48.2065127999174</c:v>
                </c:pt>
                <c:pt idx="364">
                  <c:v>-48.5491381961231</c:v>
                </c:pt>
                <c:pt idx="365">
                  <c:v>-48.9020213446455</c:v>
                </c:pt>
                <c:pt idx="366">
                  <c:v>-49.2647962872019</c:v>
                </c:pt>
                <c:pt idx="367">
                  <c:v>-49.6370867664717</c:v>
                </c:pt>
                <c:pt idx="368">
                  <c:v>-50.0185068960403</c:v>
                </c:pt>
                <c:pt idx="369">
                  <c:v>-50.4086618744924</c:v>
                </c:pt>
                <c:pt idx="370">
                  <c:v>-50.8071487418381</c:v>
                </c:pt>
                <c:pt idx="371">
                  <c:v>-51.2135571759455</c:v>
                </c:pt>
                <c:pt idx="372">
                  <c:v>-51.6274703261265</c:v>
                </c:pt>
                <c:pt idx="373">
                  <c:v>-52.0484656805323</c:v>
                </c:pt>
                <c:pt idx="374">
                  <c:v>-52.4761159635504</c:v>
                </c:pt>
                <c:pt idx="375">
                  <c:v>-52.9099900589646</c:v>
                </c:pt>
                <c:pt idx="376">
                  <c:v>-53.3496539542493</c:v>
                </c:pt>
                <c:pt idx="377">
                  <c:v>-53.7946717010501</c:v>
                </c:pt>
                <c:pt idx="378">
                  <c:v>-54.2446063866096</c:v>
                </c:pt>
                <c:pt idx="379">
                  <c:v>-54.6990211107061</c:v>
                </c:pt>
                <c:pt idx="380">
                  <c:v>-55.1574799625071</c:v>
                </c:pt>
                <c:pt idx="381">
                  <c:v>-55.6195489916873</c:v>
                </c:pt>
                <c:pt idx="382">
                  <c:v>-56.0847971681371</c:v>
                </c:pt>
                <c:pt idx="383">
                  <c:v>-56.5527973246705</c:v>
                </c:pt>
                <c:pt idx="384">
                  <c:v>-57.0231270772691</c:v>
                </c:pt>
                <c:pt idx="385">
                  <c:v>-57.4953697176142</c:v>
                </c:pt>
                <c:pt idx="386">
                  <c:v>-57.9691150729122</c:v>
                </c:pt>
                <c:pt idx="387">
                  <c:v>-58.4439603283577</c:v>
                </c:pt>
                <c:pt idx="388">
                  <c:v>-58.9195108079503</c:v>
                </c:pt>
                <c:pt idx="389">
                  <c:v>-59.3953807098001</c:v>
                </c:pt>
                <c:pt idx="390">
                  <c:v>-59.8711937925181</c:v>
                </c:pt>
                <c:pt idx="391">
                  <c:v>-60.3465840097817</c:v>
                </c:pt>
                <c:pt idx="392">
                  <c:v>-60.8211960906578</c:v>
                </c:pt>
                <c:pt idx="393">
                  <c:v>-61.2946860638046</c:v>
                </c:pt>
                <c:pt idx="394">
                  <c:v>-61.7667217241837</c:v>
                </c:pt>
                <c:pt idx="395">
                  <c:v>-62.2369830414395</c:v>
                </c:pt>
                <c:pt idx="396">
                  <c:v>-62.7051625096131</c:v>
                </c:pt>
                <c:pt idx="397">
                  <c:v>-63.1709654383424</c:v>
                </c:pt>
                <c:pt idx="398">
                  <c:v>-63.6341101861713</c:v>
                </c:pt>
                <c:pt idx="399">
                  <c:v>-64.0943283370234</c:v>
                </c:pt>
                <c:pt idx="400">
                  <c:v>-64.5513648212963</c:v>
                </c:pt>
                <c:pt idx="401">
                  <c:v>-65.0049779834047</c:v>
                </c:pt>
                <c:pt idx="402">
                  <c:v>-65.4549395979045</c:v>
                </c:pt>
                <c:pt idx="403">
                  <c:v>-65.9010348366405</c:v>
                </c:pt>
                <c:pt idx="404">
                  <c:v>-66.3430621895676</c:v>
                </c:pt>
                <c:pt idx="405">
                  <c:v>-66.7808333421181</c:v>
                </c:pt>
                <c:pt idx="406">
                  <c:v>-67.2141730121168</c:v>
                </c:pt>
                <c:pt idx="407">
                  <c:v>-67.6429187493786</c:v>
                </c:pt>
                <c:pt idx="408">
                  <c:v>-68.0669207011791</c:v>
                </c:pt>
                <c:pt idx="409">
                  <c:v>-68.4860413468357</c:v>
                </c:pt>
                <c:pt idx="410">
                  <c:v>-68.9001552046303</c:v>
                </c:pt>
                <c:pt idx="411">
                  <c:v>-69.3091485142807</c:v>
                </c:pt>
                <c:pt idx="412">
                  <c:v>-69.7129188981051</c:v>
                </c:pt>
                <c:pt idx="413">
                  <c:v>-70.1113750039442</c:v>
                </c:pt>
                <c:pt idx="414">
                  <c:v>-70.5044361327987</c:v>
                </c:pt>
                <c:pt idx="415">
                  <c:v>-70.8920318540203</c:v>
                </c:pt>
                <c:pt idx="416">
                  <c:v>-71.2741016107536</c:v>
                </c:pt>
                <c:pt idx="417">
                  <c:v>-71.6505943181757</c:v>
                </c:pt>
                <c:pt idx="418">
                  <c:v>-72.0214679569291</c:v>
                </c:pt>
                <c:pt idx="419">
                  <c:v>-72.3866891639684</c:v>
                </c:pt>
                <c:pt idx="420">
                  <c:v>-72.7462328228782</c:v>
                </c:pt>
                <c:pt idx="421">
                  <c:v>-73.1000816555522</c:v>
                </c:pt>
                <c:pt idx="422">
                  <c:v>-73.4482258169441</c:v>
                </c:pt>
                <c:pt idx="423">
                  <c:v>-73.7906624944452</c:v>
                </c:pt>
                <c:pt idx="424">
                  <c:v>-74.1273955132713</c:v>
                </c:pt>
                <c:pt idx="425">
                  <c:v>-74.4584349490839</c:v>
                </c:pt>
                <c:pt idx="426">
                  <c:v>-74.7837967489243</c:v>
                </c:pt>
                <c:pt idx="427">
                  <c:v>-75.1035023613849</c:v>
                </c:pt>
                <c:pt idx="428">
                  <c:v>-75.4175783768118</c:v>
                </c:pt>
                <c:pt idx="429">
                  <c:v>-75.7260561781979</c:v>
                </c:pt>
                <c:pt idx="430">
                  <c:v>-76.0289716033072</c:v>
                </c:pt>
                <c:pt idx="431">
                  <c:v>-76.3263646184582</c:v>
                </c:pt>
                <c:pt idx="432">
                  <c:v>-76.6182790042882</c:v>
                </c:pt>
                <c:pt idx="433">
                  <c:v>-76.9047620537301</c:v>
                </c:pt>
                <c:pt idx="434">
                  <c:v>-77.1858642823401</c:v>
                </c:pt>
                <c:pt idx="435">
                  <c:v>-77.4616391510418</c:v>
                </c:pt>
                <c:pt idx="436">
                  <c:v>-77.7321428012783</c:v>
                </c:pt>
                <c:pt idx="437">
                  <c:v>-77.9974338025042</c:v>
                </c:pt>
                <c:pt idx="438">
                  <c:v>-78.2575729118908</c:v>
                </c:pt>
                <c:pt idx="439">
                  <c:v>-78.5126228460708</c:v>
                </c:pt>
                <c:pt idx="440">
                  <c:v>-78.762648064707</c:v>
                </c:pt>
                <c:pt idx="441">
                  <c:v>-79.007714565633</c:v>
                </c:pt>
                <c:pt idx="442">
                  <c:v>-79.2478896912822</c:v>
                </c:pt>
                <c:pt idx="443">
                  <c:v>-79.4832419460985</c:v>
                </c:pt>
                <c:pt idx="444">
                  <c:v>-79.7138408245973</c:v>
                </c:pt>
                <c:pt idx="445">
                  <c:v>-79.9397566497349</c:v>
                </c:pt>
                <c:pt idx="446">
                  <c:v>-80.1610604212255</c:v>
                </c:pt>
                <c:pt idx="447">
                  <c:v>-80.3778236734404</c:v>
                </c:pt>
                <c:pt idx="448">
                  <c:v>-80.5901183425161</c:v>
                </c:pt>
                <c:pt idx="449">
                  <c:v>-80.798016642296</c:v>
                </c:pt>
                <c:pt idx="450">
                  <c:v>-81.0015909487289</c:v>
                </c:pt>
                <c:pt idx="451">
                  <c:v>-81.2009136923489</c:v>
                </c:pt>
                <c:pt idx="452">
                  <c:v>-81.3960572584663</c:v>
                </c:pt>
                <c:pt idx="453">
                  <c:v>-81.5870938947024</c:v>
                </c:pt>
                <c:pt idx="454">
                  <c:v>-81.7740956255086</c:v>
                </c:pt>
                <c:pt idx="455">
                  <c:v>-81.9571341733175</c:v>
                </c:pt>
                <c:pt idx="456">
                  <c:v>-82.1362808859824</c:v>
                </c:pt>
                <c:pt idx="457">
                  <c:v>-82.3116066701715</c:v>
                </c:pt>
                <c:pt idx="458">
                  <c:v>-82.4831819303919</c:v>
                </c:pt>
                <c:pt idx="459">
                  <c:v>-82.6510765133316</c:v>
                </c:pt>
                <c:pt idx="460">
                  <c:v>-82.8153596572152</c:v>
                </c:pt>
                <c:pt idx="461">
                  <c:v>-82.976099945883</c:v>
                </c:pt>
                <c:pt idx="462">
                  <c:v>-83.1333652673146</c:v>
                </c:pt>
                <c:pt idx="463">
                  <c:v>-83.287222776327</c:v>
                </c:pt>
                <c:pt idx="464">
                  <c:v>-83.4377388611908</c:v>
                </c:pt>
                <c:pt idx="465">
                  <c:v>-83.58497911392</c:v>
                </c:pt>
                <c:pt idx="466">
                  <c:v>-83.729008304</c:v>
                </c:pt>
                <c:pt idx="467">
                  <c:v>-83.8698903553301</c:v>
                </c:pt>
                <c:pt idx="468">
                  <c:v>-84.00768832617</c:v>
                </c:pt>
                <c:pt idx="469">
                  <c:v>-84.1424643918867</c:v>
                </c:pt>
                <c:pt idx="470">
                  <c:v>-84.274279830311</c:v>
                </c:pt>
                <c:pt idx="471">
                  <c:v>-84.4031950095215</c:v>
                </c:pt>
                <c:pt idx="472">
                  <c:v>-84.5292693778856</c:v>
                </c:pt>
                <c:pt idx="473">
                  <c:v>-84.6525614561933</c:v>
                </c:pt>
                <c:pt idx="474">
                  <c:v>-84.7731288317311</c:v>
                </c:pt>
                <c:pt idx="475">
                  <c:v>-84.8910281541518</c:v>
                </c:pt>
                <c:pt idx="476">
                  <c:v>-85.0063151330012</c:v>
                </c:pt>
                <c:pt idx="477">
                  <c:v>-85.1190445367771</c:v>
                </c:pt>
                <c:pt idx="478">
                  <c:v>-85.2292701933948</c:v>
                </c:pt>
                <c:pt idx="479">
                  <c:v>-85.337044991949</c:v>
                </c:pt>
                <c:pt idx="480">
                  <c:v>-85.4424208856644</c:v>
                </c:pt>
                <c:pt idx="481">
                  <c:v>-85.5454488959327</c:v>
                </c:pt>
                <c:pt idx="482">
                  <c:v>-85.6461791173447</c:v>
                </c:pt>
                <c:pt idx="483">
                  <c:v>-85.7446607236284</c:v>
                </c:pt>
                <c:pt idx="484">
                  <c:v>-85.8409419744093</c:v>
                </c:pt>
                <c:pt idx="485">
                  <c:v>-85.9350702227186</c:v>
                </c:pt>
                <c:pt idx="486">
                  <c:v>-86.0270919231743</c:v>
                </c:pt>
                <c:pt idx="487">
                  <c:v>-86.1170526407704</c:v>
                </c:pt>
                <c:pt idx="488">
                  <c:v>-86.20499706021</c:v>
                </c:pt>
                <c:pt idx="489">
                  <c:v>-86.2909689957239</c:v>
                </c:pt>
                <c:pt idx="490">
                  <c:v>-86.3750114013215</c:v>
                </c:pt>
                <c:pt idx="491">
                  <c:v>-86.4571663814217</c:v>
                </c:pt>
                <c:pt idx="492">
                  <c:v>-86.5374752018177</c:v>
                </c:pt>
                <c:pt idx="493">
                  <c:v>-86.6159783009324</c:v>
                </c:pt>
                <c:pt idx="494">
                  <c:v>-86.6927153013221</c:v>
                </c:pt>
                <c:pt idx="495">
                  <c:v>-86.7677250213934</c:v>
                </c:pt>
                <c:pt idx="496">
                  <c:v>-86.8410454872959</c:v>
                </c:pt>
                <c:pt idx="497">
                  <c:v>-86.912713944961</c:v>
                </c:pt>
                <c:pt idx="498">
                  <c:v>-86.9827668722548</c:v>
                </c:pt>
                <c:pt idx="499">
                  <c:v>-87.0512399912198</c:v>
                </c:pt>
                <c:pt idx="500">
                  <c:v>-87.1181682803779</c:v>
                </c:pt>
                <c:pt idx="501">
                  <c:v>-87.1835859870738</c:v>
                </c:pt>
                <c:pt idx="502">
                  <c:v>-87.247526639836</c:v>
                </c:pt>
                <c:pt idx="503">
                  <c:v>-87.3100230607349</c:v>
                </c:pt>
                <c:pt idx="504">
                  <c:v>-87.3711073777233</c:v>
                </c:pt>
                <c:pt idx="505">
                  <c:v>-87.4308110369387</c:v>
                </c:pt>
                <c:pt idx="506">
                  <c:v>-87.4891648149564</c:v>
                </c:pt>
                <c:pt idx="507">
                  <c:v>-87.5461988309761</c:v>
                </c:pt>
                <c:pt idx="508">
                  <c:v>-87.6019425589326</c:v>
                </c:pt>
                <c:pt idx="509">
                  <c:v>-87.656424839518</c:v>
                </c:pt>
                <c:pt idx="510">
                  <c:v>-87.7096738921049</c:v>
                </c:pt>
                <c:pt idx="511">
                  <c:v>-87.7617173265622</c:v>
                </c:pt>
                <c:pt idx="512">
                  <c:v>-87.8125821549551</c:v>
                </c:pt>
                <c:pt idx="513">
                  <c:v>-87.8622948031217</c:v>
                </c:pt>
                <c:pt idx="514">
                  <c:v>-87.9108811221206</c:v>
                </c:pt>
                <c:pt idx="515">
                  <c:v>-87.9583663995413</c:v>
                </c:pt>
                <c:pt idx="516">
                  <c:v>-88.0047753706762</c:v>
                </c:pt>
                <c:pt idx="517">
                  <c:v>-88.0501322295457</c:v>
                </c:pt>
                <c:pt idx="518">
                  <c:v>-88.0944606397754</c:v>
                </c:pt>
                <c:pt idx="519">
                  <c:v>-88.1377837453204</c:v>
                </c:pt>
                <c:pt idx="520">
                  <c:v>-88.1801241810357</c:v>
                </c:pt>
                <c:pt idx="521">
                  <c:v>-88.2215040830879</c:v>
                </c:pt>
                <c:pt idx="522">
                  <c:v>-88.2619450992083</c:v>
                </c:pt>
                <c:pt idx="523">
                  <c:v>-88.3014683987861</c:v>
                </c:pt>
                <c:pt idx="524">
                  <c:v>-88.3400946827982</c:v>
                </c:pt>
                <c:pt idx="525">
                  <c:v>-88.3778441935772</c:v>
                </c:pt>
                <c:pt idx="526">
                  <c:v>-88.4147367244169</c:v>
                </c:pt>
                <c:pt idx="527">
                  <c:v>-88.4507916290132</c:v>
                </c:pt>
                <c:pt idx="528">
                  <c:v>-88.4860278307428</c:v>
                </c:pt>
                <c:pt idx="529">
                  <c:v>-88.5204638317786</c:v>
                </c:pt>
                <c:pt idx="530">
                  <c:v>-88.5541177220426</c:v>
                </c:pt>
                <c:pt idx="531">
                  <c:v>-88.5870071879975</c:v>
                </c:pt>
                <c:pt idx="532">
                  <c:v>-88.6191495212768</c:v>
                </c:pt>
                <c:pt idx="533">
                  <c:v>-88.6505616271562</c:v>
                </c:pt>
                <c:pt idx="534">
                  <c:v>-88.6812600328655</c:v>
                </c:pt>
                <c:pt idx="535">
                  <c:v>-88.7112608957438</c:v>
                </c:pt>
                <c:pt idx="536">
                  <c:v>-88.7405800112392</c:v>
                </c:pt>
                <c:pt idx="537">
                  <c:v>-88.7692328207537</c:v>
                </c:pt>
                <c:pt idx="538">
                  <c:v>-88.7972344193359</c:v>
                </c:pt>
                <c:pt idx="539">
                  <c:v>-88.8245995632235</c:v>
                </c:pt>
                <c:pt idx="540">
                  <c:v>-88.8513426772357</c:v>
                </c:pt>
                <c:pt idx="541">
                  <c:v>-88.8774778620197</c:v>
                </c:pt>
              </c:numCache>
            </c:numRef>
          </c:yVal>
          <c:smooth val="1"/>
        </c:ser>
        <c:dLbls>
          <c:showLegendKey val="0"/>
          <c:showVal val="0"/>
          <c:showCatName val="0"/>
          <c:showSerName val="0"/>
          <c:showPercent val="0"/>
          <c:showBubbleSize val="0"/>
        </c:dLbls>
        <c:axId val="178862336"/>
        <c:axId val="178860800"/>
      </c:scatterChart>
      <c:valAx>
        <c:axId val="178856704"/>
        <c:scaling>
          <c:logBase val="10"/>
          <c:orientation val="minMax"/>
          <c:max val="22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858624"/>
        <c:crosses val="autoZero"/>
        <c:crossBetween val="midCat"/>
      </c:valAx>
      <c:valAx>
        <c:axId val="178858624"/>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Gain</a:t>
                </a:r>
                <a:r>
                  <a:rPr lang="en-US" baseline="0"/>
                  <a:t> (dB)</a:t>
                </a:r>
                <a:endParaRPr lang="en-US"/>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856704"/>
        <c:crosses val="autoZero"/>
        <c:crossBetween val="midCat"/>
        <c:majorUnit val="20"/>
        <c:minorUnit val="10"/>
      </c:valAx>
      <c:valAx>
        <c:axId val="178862336"/>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860800"/>
        <c:crosses val="autoZero"/>
        <c:crossBetween val="midCat"/>
      </c:valAx>
      <c:valAx>
        <c:axId val="178860800"/>
        <c:scaling>
          <c:orientation val="minMax"/>
          <c:max val="180"/>
          <c:min val="-180"/>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862336"/>
        <c:crosses val="max"/>
        <c:crossBetween val="midCat"/>
        <c:majorUnit val="90"/>
        <c:minorUnit val="45"/>
      </c:valAx>
    </c:plotArea>
    <c:legend>
      <c:legendPos val="r"/>
      <c:layout>
        <c:manualLayout>
          <c:xMode val="edge"/>
          <c:yMode val="edge"/>
          <c:x val="0.798805582095125"/>
          <c:y val="0.14321997959862"/>
          <c:w val="0.134594492760573"/>
          <c:h val="0.106916098611994"/>
        </c:manualLayout>
      </c:layout>
      <c:overlay val="1"/>
      <c:spPr>
        <a:solidFill>
          <a:schemeClr val="bg1"/>
        </a:solidFill>
      </c:spPr>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642237c-f052-44fa-acdb-ac797fb65b45}"/>
      </c:ext>
    </c:extLst>
  </c:chart>
  <c:txPr>
    <a:bodyPr/>
    <a:lstStyle/>
    <a:p>
      <a:pPr>
        <a:defRPr lang="pl-PL"/>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baseline="0"/>
              <a:t>DCM Control Loop Transfer Function</a:t>
            </a:r>
            <a:endParaRPr lang="en-US" baseline="0"/>
          </a:p>
        </c:rich>
      </c:tx>
      <c:layout/>
      <c:overlay val="0"/>
    </c:title>
    <c:autoTitleDeleted val="0"/>
    <c:plotArea>
      <c:layout/>
      <c:scatterChart>
        <c:scatterStyle val="smooth"/>
        <c:varyColors val="0"/>
        <c:ser>
          <c:idx val="0"/>
          <c:order val="0"/>
          <c:spPr>
            <a:ln w="38100" cap="rnd" cmpd="sng" algn="ctr">
              <a:solidFill>
                <a:srgbClr val="FF0000"/>
              </a:solidFill>
              <a:prstDash val="solid"/>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Loop_Modeling!$BJ$19:$BJ$560</c:f>
              <c:numCache>
                <c:formatCode>0.000</c:formatCode>
                <c:ptCount val="542"/>
                <c:pt idx="0">
                  <c:v>67.1233070755597</c:v>
                </c:pt>
                <c:pt idx="1">
                  <c:v>66.9229675592914</c:v>
                </c:pt>
                <c:pt idx="2">
                  <c:v>66.7226121134181</c:v>
                </c:pt>
                <c:pt idx="3">
                  <c:v>66.5222399940542</c:v>
                </c:pt>
                <c:pt idx="4">
                  <c:v>66.321850422914</c:v>
                </c:pt>
                <c:pt idx="5">
                  <c:v>66.1214425857521</c:v>
                </c:pt>
                <c:pt idx="6">
                  <c:v>65.9210156307385</c:v>
                </c:pt>
                <c:pt idx="7">
                  <c:v>65.7205686667626</c:v>
                </c:pt>
                <c:pt idx="8">
                  <c:v>65.5201007616638</c:v>
                </c:pt>
                <c:pt idx="9">
                  <c:v>65.3196109403882</c:v>
                </c:pt>
                <c:pt idx="10">
                  <c:v>65.1190981830658</c:v>
                </c:pt>
                <c:pt idx="11">
                  <c:v>64.9185614230063</c:v>
                </c:pt>
                <c:pt idx="12">
                  <c:v>64.7179995446123</c:v>
                </c:pt>
                <c:pt idx="13">
                  <c:v>64.517411381203</c:v>
                </c:pt>
                <c:pt idx="14">
                  <c:v>64.3167957127502</c:v>
                </c:pt>
                <c:pt idx="15">
                  <c:v>64.1161512635189</c:v>
                </c:pt>
                <c:pt idx="16">
                  <c:v>63.9154766996127</c:v>
                </c:pt>
                <c:pt idx="17">
                  <c:v>63.7147706264187</c:v>
                </c:pt>
                <c:pt idx="18">
                  <c:v>63.5140315859509</c:v>
                </c:pt>
                <c:pt idx="19">
                  <c:v>63.3132580540857</c:v>
                </c:pt>
                <c:pt idx="20">
                  <c:v>63.1124484376898</c:v>
                </c:pt>
                <c:pt idx="21">
                  <c:v>62.9116010716349</c:v>
                </c:pt>
                <c:pt idx="22">
                  <c:v>62.7107142156967</c:v>
                </c:pt>
                <c:pt idx="23">
                  <c:v>62.5097860513351</c:v>
                </c:pt>
                <c:pt idx="24">
                  <c:v>62.3088146783534</c:v>
                </c:pt>
                <c:pt idx="25">
                  <c:v>62.1077981114309</c:v>
                </c:pt>
                <c:pt idx="26">
                  <c:v>61.90673427653</c:v>
                </c:pt>
                <c:pt idx="27">
                  <c:v>61.7056210071709</c:v>
                </c:pt>
                <c:pt idx="28">
                  <c:v>61.5044560405737</c:v>
                </c:pt>
                <c:pt idx="29">
                  <c:v>61.3032370136661</c:v>
                </c:pt>
                <c:pt idx="30">
                  <c:v>61.1019614589515</c:v>
                </c:pt>
                <c:pt idx="31">
                  <c:v>60.9006268002392</c:v>
                </c:pt>
                <c:pt idx="32">
                  <c:v>60.6992303482318</c:v>
                </c:pt>
                <c:pt idx="33">
                  <c:v>60.4977692959715</c:v>
                </c:pt>
                <c:pt idx="34">
                  <c:v>60.296240714142</c:v>
                </c:pt>
                <c:pt idx="35">
                  <c:v>60.094641546227</c:v>
                </c:pt>
                <c:pt idx="36">
                  <c:v>59.892968603525</c:v>
                </c:pt>
                <c:pt idx="37">
                  <c:v>59.6912185600209</c:v>
                </c:pt>
                <c:pt idx="38">
                  <c:v>59.4893879471163</c:v>
                </c:pt>
                <c:pt idx="39">
                  <c:v>59.28747314822</c:v>
                </c:pt>
                <c:pt idx="40">
                  <c:v>59.0854703932019</c:v>
                </c:pt>
                <c:pt idx="41">
                  <c:v>58.8833757527145</c:v>
                </c:pt>
                <c:pt idx="42">
                  <c:v>58.6811851323857</c:v>
                </c:pt>
                <c:pt idx="43">
                  <c:v>58.4788942668906</c:v>
                </c:pt>
                <c:pt idx="44">
                  <c:v>58.2764987139071</c:v>
                </c:pt>
                <c:pt idx="45">
                  <c:v>58.073993847967</c:v>
                </c:pt>
                <c:pt idx="46">
                  <c:v>57.8713748542094</c:v>
                </c:pt>
                <c:pt idx="47">
                  <c:v>57.66863672205</c:v>
                </c:pt>
                <c:pt idx="48">
                  <c:v>57.4657742387797</c:v>
                </c:pt>
                <c:pt idx="49">
                  <c:v>57.2627819831065</c:v>
                </c:pt>
                <c:pt idx="50">
                  <c:v>57.0596543186595</c:v>
                </c:pt>
                <c:pt idx="51">
                  <c:v>56.8563853874744</c:v>
                </c:pt>
                <c:pt idx="52">
                  <c:v>56.6529691034813</c:v>
                </c:pt>
                <c:pt idx="53">
                  <c:v>56.4493991460229</c:v>
                </c:pt>
                <c:pt idx="54">
                  <c:v>56.2456689534257</c:v>
                </c:pt>
                <c:pt idx="55">
                  <c:v>56.0417717166598</c:v>
                </c:pt>
                <c:pt idx="56">
                  <c:v>55.8377003731183</c:v>
                </c:pt>
                <c:pt idx="57">
                  <c:v>55.6334476005543</c:v>
                </c:pt>
                <c:pt idx="58">
                  <c:v>55.4290058112166</c:v>
                </c:pt>
                <c:pt idx="59">
                  <c:v>55.2243671462296</c:v>
                </c:pt>
                <c:pt idx="60">
                  <c:v>55.0195234702652</c:v>
                </c:pt>
                <c:pt idx="61">
                  <c:v>54.8144663665612</c:v>
                </c:pt>
                <c:pt idx="62">
                  <c:v>54.6091871323443</c:v>
                </c:pt>
                <c:pt idx="63">
                  <c:v>54.4036767747186</c:v>
                </c:pt>
                <c:pt idx="64">
                  <c:v>54.1979260070893</c:v>
                </c:pt>
                <c:pt idx="65">
                  <c:v>53.9919252461941</c:v>
                </c:pt>
                <c:pt idx="66">
                  <c:v>53.785664609818</c:v>
                </c:pt>
                <c:pt idx="67">
                  <c:v>53.5791339152785</c:v>
                </c:pt>
                <c:pt idx="68">
                  <c:v>53.3723226787668</c:v>
                </c:pt>
                <c:pt idx="69">
                  <c:v>53.1652201156409</c:v>
                </c:pt>
                <c:pt idx="70">
                  <c:v>52.9578151417706</c:v>
                </c:pt>
                <c:pt idx="71">
                  <c:v>52.7500963760389</c:v>
                </c:pt>
                <c:pt idx="72">
                  <c:v>52.5420521441113</c:v>
                </c:pt>
                <c:pt idx="73">
                  <c:v>52.333670483587</c:v>
                </c:pt>
                <c:pt idx="74">
                  <c:v>52.1249391506556</c:v>
                </c:pt>
                <c:pt idx="75">
                  <c:v>51.9158456283808</c:v>
                </c:pt>
                <c:pt idx="76">
                  <c:v>51.7063771367433</c:v>
                </c:pt>
                <c:pt idx="77">
                  <c:v>51.4965206445722</c:v>
                </c:pt>
                <c:pt idx="78">
                  <c:v>51.2862628835039</c:v>
                </c:pt>
                <c:pt idx="79">
                  <c:v>51.0755903640998</c:v>
                </c:pt>
                <c:pt idx="80">
                  <c:v>50.8644893942666</c:v>
                </c:pt>
                <c:pt idx="81">
                  <c:v>50.6529461001107</c:v>
                </c:pt>
                <c:pt idx="82">
                  <c:v>50.4409464493658</c:v>
                </c:pt>
                <c:pt idx="83">
                  <c:v>50.2284762775237</c:v>
                </c:pt>
                <c:pt idx="84">
                  <c:v>50.0155213167962</c:v>
                </c:pt>
                <c:pt idx="85">
                  <c:v>49.8020672280273</c:v>
                </c:pt>
                <c:pt idx="86">
                  <c:v>49.5880996356677</c:v>
                </c:pt>
                <c:pt idx="87">
                  <c:v>49.3736041659097</c:v>
                </c:pt>
                <c:pt idx="88">
                  <c:v>49.1585664880702</c:v>
                </c:pt>
                <c:pt idx="89">
                  <c:v>48.9429723592893</c:v>
                </c:pt>
                <c:pt idx="90">
                  <c:v>48.7268076725967</c:v>
                </c:pt>
                <c:pt idx="91">
                  <c:v>48.5100585083718</c:v>
                </c:pt>
                <c:pt idx="92">
                  <c:v>48.2927111892026</c:v>
                </c:pt>
                <c:pt idx="93">
                  <c:v>48.0747523381153</c:v>
                </c:pt>
                <c:pt idx="94">
                  <c:v>47.8561689401207</c:v>
                </c:pt>
                <c:pt idx="95">
                  <c:v>47.6369484069836</c:v>
                </c:pt>
                <c:pt idx="96">
                  <c:v>47.4170786450873</c:v>
                </c:pt>
                <c:pt idx="97">
                  <c:v>47.196548126222</c:v>
                </c:pt>
                <c:pt idx="98">
                  <c:v>46.9753459610871</c:v>
                </c:pt>
                <c:pt idx="99">
                  <c:v>46.7534619752444</c:v>
                </c:pt>
                <c:pt idx="100">
                  <c:v>46.5308867872192</c:v>
                </c:pt>
                <c:pt idx="101">
                  <c:v>46.3076118883903</c:v>
                </c:pt>
                <c:pt idx="102">
                  <c:v>46.083629724264</c:v>
                </c:pt>
                <c:pt idx="103">
                  <c:v>45.8589337766723</c:v>
                </c:pt>
                <c:pt idx="104">
                  <c:v>45.6335186463863</c:v>
                </c:pt>
                <c:pt idx="105">
                  <c:v>45.4073801355872</c:v>
                </c:pt>
                <c:pt idx="106">
                  <c:v>45.1805153295852</c:v>
                </c:pt>
                <c:pt idx="107">
                  <c:v>44.952922677136</c:v>
                </c:pt>
                <c:pt idx="108">
                  <c:v>44.7246020686574</c:v>
                </c:pt>
                <c:pt idx="109">
                  <c:v>44.49555491162</c:v>
                </c:pt>
                <c:pt idx="110">
                  <c:v>44.2657842023454</c:v>
                </c:pt>
                <c:pt idx="111">
                  <c:v>44.0352945934289</c:v>
                </c:pt>
                <c:pt idx="112">
                  <c:v>43.804092455987</c:v>
                </c:pt>
                <c:pt idx="113">
                  <c:v>43.572185935918</c:v>
                </c:pt>
                <c:pt idx="114">
                  <c:v>43.339585003375</c:v>
                </c:pt>
                <c:pt idx="115">
                  <c:v>43.1063014946579</c:v>
                </c:pt>
                <c:pt idx="116">
                  <c:v>42.872349145761</c:v>
                </c:pt>
                <c:pt idx="117">
                  <c:v>42.6377436168471</c:v>
                </c:pt>
                <c:pt idx="118">
                  <c:v>42.4025025069695</c:v>
                </c:pt>
                <c:pt idx="119">
                  <c:v>42.1666453584268</c:v>
                </c:pt>
                <c:pt idx="120">
                  <c:v>41.9301936502072</c:v>
                </c:pt>
                <c:pt idx="121">
                  <c:v>41.6931707800637</c:v>
                </c:pt>
                <c:pt idx="122">
                  <c:v>41.4556020348645</c:v>
                </c:pt>
                <c:pt idx="123">
                  <c:v>41.2175145489618</c:v>
                </c:pt>
                <c:pt idx="124">
                  <c:v>40.9789372504449</c:v>
                </c:pt>
                <c:pt idx="125">
                  <c:v>40.7399007952624</c:v>
                </c:pt>
                <c:pt idx="126">
                  <c:v>40.5004374893317</c:v>
                </c:pt>
                <c:pt idx="127">
                  <c:v>40.2605811988837</c:v>
                </c:pt>
                <c:pt idx="128">
                  <c:v>40.0203672494272</c:v>
                </c:pt>
                <c:pt idx="129">
                  <c:v>39.7798323138529</c:v>
                </c:pt>
                <c:pt idx="130">
                  <c:v>39.539014290328</c:v>
                </c:pt>
                <c:pt idx="131">
                  <c:v>39.2979521707602</c:v>
                </c:pt>
                <c:pt idx="132">
                  <c:v>39.0566859007278</c:v>
                </c:pt>
                <c:pt idx="133">
                  <c:v>38.815256231887</c:v>
                </c:pt>
                <c:pt idx="134">
                  <c:v>38.5737045679617</c:v>
                </c:pt>
                <c:pt idx="135">
                  <c:v>38.3320728055103</c:v>
                </c:pt>
                <c:pt idx="136">
                  <c:v>38.0904031707315</c:v>
                </c:pt>
                <c:pt idx="137">
                  <c:v>37.8487380536258</c:v>
                </c:pt>
                <c:pt idx="138">
                  <c:v>37.6071198408661</c:v>
                </c:pt>
                <c:pt idx="139">
                  <c:v>37.3655907487476</c:v>
                </c:pt>
                <c:pt idx="140">
                  <c:v>37.1241926575866</c:v>
                </c:pt>
                <c:pt idx="141">
                  <c:v>36.8829669489181</c:v>
                </c:pt>
                <c:pt idx="142">
                  <c:v>36.6419543468043</c:v>
                </c:pt>
                <c:pt idx="143">
                  <c:v>36.4011947645122</c:v>
                </c:pt>
                <c:pt idx="144">
                  <c:v>36.1607271577429</c:v>
                </c:pt>
                <c:pt idx="145">
                  <c:v>35.9205893855138</c:v>
                </c:pt>
                <c:pt idx="146">
                  <c:v>35.6808180796893</c:v>
                </c:pt>
                <c:pt idx="147">
                  <c:v>35.4414485240497</c:v>
                </c:pt>
                <c:pt idx="148">
                  <c:v>35.202514543663</c:v>
                </c:pt>
                <c:pt idx="149">
                  <c:v>34.9640484051978</c:v>
                </c:pt>
                <c:pt idx="150">
                  <c:v>34.7260807286856</c:v>
                </c:pt>
                <c:pt idx="151">
                  <c:v>34.4886404111015</c:v>
                </c:pt>
                <c:pt idx="152">
                  <c:v>34.2517545620014</c:v>
                </c:pt>
                <c:pt idx="153">
                  <c:v>34.0154484513192</c:v>
                </c:pt>
                <c:pt idx="154">
                  <c:v>33.779745469297</c:v>
                </c:pt>
                <c:pt idx="155">
                  <c:v>33.5446670984028</c:v>
                </c:pt>
                <c:pt idx="156">
                  <c:v>33.3102328969701</c:v>
                </c:pt>
                <c:pt idx="157">
                  <c:v>33.0764604941925</c:v>
                </c:pt>
                <c:pt idx="158">
                  <c:v>32.8433655960062</c:v>
                </c:pt>
                <c:pt idx="159">
                  <c:v>32.6109620013117</c:v>
                </c:pt>
                <c:pt idx="160">
                  <c:v>32.3792616279129</c:v>
                </c:pt>
                <c:pt idx="161">
                  <c:v>32.1482745474898</c:v>
                </c:pt>
                <c:pt idx="162">
                  <c:v>31.9180090288738</c:v>
                </c:pt>
                <c:pt idx="163">
                  <c:v>31.6884715888584</c:v>
                </c:pt>
                <c:pt idx="164">
                  <c:v>31.4596670497542</c:v>
                </c:pt>
                <c:pt idx="165">
                  <c:v>31.2315986028837</c:v>
                </c:pt>
                <c:pt idx="166">
                  <c:v>31.0042678772093</c:v>
                </c:pt>
                <c:pt idx="167">
                  <c:v>30.7776750122967</c:v>
                </c:pt>
                <c:pt idx="168">
                  <c:v>30.5518187348312</c:v>
                </c:pt>
                <c:pt idx="169">
                  <c:v>30.3266964379282</c:v>
                </c:pt>
                <c:pt idx="170">
                  <c:v>30.1023042625161</c:v>
                </c:pt>
                <c:pt idx="171">
                  <c:v>29.878637180097</c:v>
                </c:pt>
                <c:pt idx="172">
                  <c:v>29.655689076244</c:v>
                </c:pt>
                <c:pt idx="173">
                  <c:v>29.4334528342304</c:v>
                </c:pt>
                <c:pt idx="174">
                  <c:v>29.2119204182406</c:v>
                </c:pt>
                <c:pt idx="175">
                  <c:v>28.9910829556591</c:v>
                </c:pt>
                <c:pt idx="176">
                  <c:v>28.7709308179868</c:v>
                </c:pt>
                <c:pt idx="177">
                  <c:v>28.5514536999852</c:v>
                </c:pt>
                <c:pt idx="178">
                  <c:v>28.3326406966982</c:v>
                </c:pt>
                <c:pt idx="179">
                  <c:v>28.1144803780529</c:v>
                </c:pt>
                <c:pt idx="180">
                  <c:v>27.8969608607859</c:v>
                </c:pt>
                <c:pt idx="181">
                  <c:v>27.6800698774911</c:v>
                </c:pt>
                <c:pt idx="182">
                  <c:v>27.463794842623</c:v>
                </c:pt>
                <c:pt idx="183">
                  <c:v>27.2481229153338</c:v>
                </c:pt>
                <c:pt idx="184">
                  <c:v>27.0330410590602</c:v>
                </c:pt>
                <c:pt idx="185">
                  <c:v>26.8185360978059</c:v>
                </c:pt>
                <c:pt idx="186">
                  <c:v>26.6045947691024</c:v>
                </c:pt>
                <c:pt idx="187">
                  <c:v>26.3912037736547</c:v>
                </c:pt>
                <c:pt idx="188">
                  <c:v>26.178349821705</c:v>
                </c:pt>
                <c:pt idx="189">
                  <c:v>25.9660196761705</c:v>
                </c:pt>
                <c:pt idx="190">
                  <c:v>25.7542001926267</c:v>
                </c:pt>
                <c:pt idx="191">
                  <c:v>25.5428783562291</c:v>
                </c:pt>
                <c:pt idx="192">
                  <c:v>25.3320413156748</c:v>
                </c:pt>
                <c:pt idx="193">
                  <c:v>25.1216764143188</c:v>
                </c:pt>
                <c:pt idx="194">
                  <c:v>24.9117712185698</c:v>
                </c:pt>
                <c:pt idx="195">
                  <c:v>24.7023135436934</c:v>
                </c:pt>
                <c:pt idx="196">
                  <c:v>24.4932914771603</c:v>
                </c:pt>
                <c:pt idx="197">
                  <c:v>24.2846933996761</c:v>
                </c:pt>
                <c:pt idx="198">
                  <c:v>24.076508004031</c:v>
                </c:pt>
                <c:pt idx="199">
                  <c:v>23.868724311913</c:v>
                </c:pt>
                <c:pt idx="200">
                  <c:v>23.6613316888197</c:v>
                </c:pt>
                <c:pt idx="201">
                  <c:v>23.4543198572077</c:v>
                </c:pt>
                <c:pt idx="202">
                  <c:v>23.2476789080136</c:v>
                </c:pt>
                <c:pt idx="203">
                  <c:v>23.0413993106756</c:v>
                </c:pt>
                <c:pt idx="204">
                  <c:v>22.8354719217835</c:v>
                </c:pt>
                <c:pt idx="205">
                  <c:v>22.629887992477</c:v>
                </c:pt>
                <c:pt idx="206">
                  <c:v>22.4246391747098</c:v>
                </c:pt>
                <c:pt idx="207">
                  <c:v>22.2197175264896</c:v>
                </c:pt>
                <c:pt idx="208">
                  <c:v>22.0151155161972</c:v>
                </c:pt>
                <c:pt idx="209">
                  <c:v>21.8108260260881</c:v>
                </c:pt>
                <c:pt idx="210">
                  <c:v>21.6068423550647</c:v>
                </c:pt>
                <c:pt idx="211">
                  <c:v>21.4031582208087</c:v>
                </c:pt>
                <c:pt idx="212">
                  <c:v>21.1997677613551</c:v>
                </c:pt>
                <c:pt idx="213">
                  <c:v>20.9966655361795</c:v>
                </c:pt>
                <c:pt idx="214">
                  <c:v>20.7938465268719</c:v>
                </c:pt>
                <c:pt idx="215">
                  <c:v>20.5913061374549</c:v>
                </c:pt>
                <c:pt idx="216">
                  <c:v>20.389040194407</c:v>
                </c:pt>
                <c:pt idx="217">
                  <c:v>20.1870449464409</c:v>
                </c:pt>
                <c:pt idx="218">
                  <c:v>19.9853170640802</c:v>
                </c:pt>
                <c:pt idx="219">
                  <c:v>19.7838536390782</c:v>
                </c:pt>
                <c:pt idx="220">
                  <c:v>19.5826521837103</c:v>
                </c:pt>
                <c:pt idx="221">
                  <c:v>19.3817106299684</c:v>
                </c:pt>
                <c:pt idx="222">
                  <c:v>19.1810273286849</c:v>
                </c:pt>
                <c:pt idx="223">
                  <c:v>18.9806010485998</c:v>
                </c:pt>
                <c:pt idx="224">
                  <c:v>18.7804309753879</c:v>
                </c:pt>
                <c:pt idx="225">
                  <c:v>18.5805167106521</c:v>
                </c:pt>
                <c:pt idx="226">
                  <c:v>18.3808582708879</c:v>
                </c:pt>
                <c:pt idx="227">
                  <c:v>18.1814560864156</c:v>
                </c:pt>
                <c:pt idx="228">
                  <c:v>17.9823110002744</c:v>
                </c:pt>
                <c:pt idx="229">
                  <c:v>17.7834242670664</c:v>
                </c:pt>
                <c:pt idx="230">
                  <c:v>17.5847975517346</c:v>
                </c:pt>
                <c:pt idx="231">
                  <c:v>17.3864329282517</c:v>
                </c:pt>
                <c:pt idx="232">
                  <c:v>17.1883328781953</c:v>
                </c:pt>
                <c:pt idx="233">
                  <c:v>16.9905002891756</c:v>
                </c:pt>
                <c:pt idx="234">
                  <c:v>16.7929384530818</c:v>
                </c:pt>
                <c:pt idx="235">
                  <c:v>16.5956510641034</c:v>
                </c:pt>
                <c:pt idx="236">
                  <c:v>16.398642216481</c:v>
                </c:pt>
                <c:pt idx="237">
                  <c:v>16.2019164019344</c:v>
                </c:pt>
                <c:pt idx="238">
                  <c:v>16.005478506713</c:v>
                </c:pt>
                <c:pt idx="239">
                  <c:v>15.809333808204</c:v>
                </c:pt>
                <c:pt idx="240">
                  <c:v>15.6134879710349</c:v>
                </c:pt>
                <c:pt idx="241">
                  <c:v>15.4179470425972</c:v>
                </c:pt>
                <c:pt idx="242">
                  <c:v>15.2227174479142</c:v>
                </c:pt>
                <c:pt idx="243">
                  <c:v>15.0278059837753</c:v>
                </c:pt>
                <c:pt idx="244">
                  <c:v>14.8332198120467</c:v>
                </c:pt>
                <c:pt idx="245">
                  <c:v>14.6389664520743</c:v>
                </c:pt>
                <c:pt idx="246">
                  <c:v>14.4450537720806</c:v>
                </c:pt>
                <c:pt idx="247">
                  <c:v>14.2514899794619</c:v>
                </c:pt>
                <c:pt idx="248">
                  <c:v>14.0582836098854</c:v>
                </c:pt>
                <c:pt idx="249">
                  <c:v>13.8654435150829</c:v>
                </c:pt>
                <c:pt idx="250">
                  <c:v>13.6729788492386</c:v>
                </c:pt>
                <c:pt idx="251">
                  <c:v>13.4808990538652</c:v>
                </c:pt>
                <c:pt idx="252">
                  <c:v>13.2892138410642</c:v>
                </c:pt>
                <c:pt idx="253">
                  <c:v>13.0979331750659</c:v>
                </c:pt>
                <c:pt idx="254">
                  <c:v>12.9070672519483</c:v>
                </c:pt>
                <c:pt idx="255">
                  <c:v>12.7166264774364</c:v>
                </c:pt>
                <c:pt idx="256">
                  <c:v>12.5266214426891</c:v>
                </c:pt>
                <c:pt idx="257">
                  <c:v>12.3370628979874</c:v>
                </c:pt>
                <c:pt idx="258">
                  <c:v>12.1479617242457</c:v>
                </c:pt>
                <c:pt idx="259">
                  <c:v>11.9593289022801</c:v>
                </c:pt>
                <c:pt idx="260">
                  <c:v>11.7711754797766</c:v>
                </c:pt>
                <c:pt idx="261">
                  <c:v>11.5835125359194</c:v>
                </c:pt>
                <c:pt idx="262">
                  <c:v>11.3963511436589</c:v>
                </c:pt>
                <c:pt idx="263">
                  <c:v>11.2097023296093</c:v>
                </c:pt>
                <c:pt idx="264">
                  <c:v>11.0235770315997</c:v>
                </c:pt>
                <c:pt idx="265">
                  <c:v>10.8379860539182</c:v>
                </c:pt>
                <c:pt idx="266">
                  <c:v>10.6529400203176</c:v>
                </c:pt>
                <c:pt idx="267">
                  <c:v>10.468449324884</c:v>
                </c:pt>
                <c:pt idx="268">
                  <c:v>10.2845240808968</c:v>
                </c:pt>
                <c:pt idx="269">
                  <c:v>10.1011740678462</c:v>
                </c:pt>
                <c:pt idx="270">
                  <c:v>9.91840867681046</c:v>
                </c:pt>
                <c:pt idx="271">
                  <c:v>9.73623685442974</c:v>
                </c:pt>
                <c:pt idx="272">
                  <c:v>9.55466704575872</c:v>
                </c:pt>
                <c:pt idx="273">
                  <c:v>9.37370713631624</c:v>
                </c:pt>
                <c:pt idx="274">
                  <c:v>9.19336439369341</c:v>
                </c:pt>
                <c:pt idx="275">
                  <c:v>9.01364540912337</c:v>
                </c:pt>
                <c:pt idx="276">
                  <c:v>8.83455603945475</c:v>
                </c:pt>
                <c:pt idx="277">
                  <c:v>8.65610135001369</c:v>
                </c:pt>
                <c:pt idx="278">
                  <c:v>8.47828555887171</c:v>
                </c:pt>
                <c:pt idx="279">
                  <c:v>8.30111198307604</c:v>
                </c:pt>
                <c:pt idx="280">
                  <c:v>8.12458298742589</c:v>
                </c:pt>
                <c:pt idx="281">
                  <c:v>7.94869993640605</c:v>
                </c:pt>
                <c:pt idx="282">
                  <c:v>7.77346314990762</c:v>
                </c:pt>
                <c:pt idx="283">
                  <c:v>7.59887186338202</c:v>
                </c:pt>
                <c:pt idx="284">
                  <c:v>7.42492419307698</c:v>
                </c:pt>
                <c:pt idx="285">
                  <c:v>7.25161710700426</c:v>
                </c:pt>
                <c:pt idx="286">
                  <c:v>7.07894640227657</c:v>
                </c:pt>
                <c:pt idx="287">
                  <c:v>6.90690668943085</c:v>
                </c:pt>
                <c:pt idx="288">
                  <c:v>6.73549138432385</c:v>
                </c:pt>
                <c:pt idx="289">
                  <c:v>6.56469270814656</c:v>
                </c:pt>
                <c:pt idx="290">
                  <c:v>6.39450169605115</c:v>
                </c:pt>
                <c:pt idx="291">
                  <c:v>6.22490821482339</c:v>
                </c:pt>
                <c:pt idx="292">
                  <c:v>6.05590098996006</c:v>
                </c:pt>
                <c:pt idx="293">
                  <c:v>5.88746764243318</c:v>
                </c:pt>
                <c:pt idx="294">
                  <c:v>5.71959473532726</c:v>
                </c:pt>
                <c:pt idx="295">
                  <c:v>5.55226783044369</c:v>
                </c:pt>
                <c:pt idx="296">
                  <c:v>5.38547155485865</c:v>
                </c:pt>
                <c:pt idx="297">
                  <c:v>5.21918967731281</c:v>
                </c:pt>
                <c:pt idx="298">
                  <c:v>5.05340519420005</c:v>
                </c:pt>
                <c:pt idx="299">
                  <c:v>4.88810042480596</c:v>
                </c:pt>
                <c:pt idx="300">
                  <c:v>4.72325711533626</c:v>
                </c:pt>
                <c:pt idx="301">
                  <c:v>4.55885655116302</c:v>
                </c:pt>
                <c:pt idx="302">
                  <c:v>4.39487967661156</c:v>
                </c:pt>
                <c:pt idx="303">
                  <c:v>4.23130722150914</c:v>
                </c:pt>
                <c:pt idx="304">
                  <c:v>4.06811983362745</c:v>
                </c:pt>
                <c:pt idx="305">
                  <c:v>3.9052982160697</c:v>
                </c:pt>
                <c:pt idx="306">
                  <c:v>3.74282326858413</c:v>
                </c:pt>
                <c:pt idx="307">
                  <c:v>3.58067623172782</c:v>
                </c:pt>
                <c:pt idx="308">
                  <c:v>3.41883883276751</c:v>
                </c:pt>
                <c:pt idx="309">
                  <c:v>3.25729343217443</c:v>
                </c:pt>
                <c:pt idx="310">
                  <c:v>3.0960231695618</c:v>
                </c:pt>
                <c:pt idx="311">
                  <c:v>2.93501210791679</c:v>
                </c:pt>
                <c:pt idx="312">
                  <c:v>2.77424537500095</c:v>
                </c:pt>
                <c:pt idx="313">
                  <c:v>2.61370930083002</c:v>
                </c:pt>
                <c:pt idx="314">
                  <c:v>2.45339155018931</c:v>
                </c:pt>
                <c:pt idx="315">
                  <c:v>2.29328124920917</c:v>
                </c:pt>
                <c:pt idx="316">
                  <c:v>2.13336910509416</c:v>
                </c:pt>
                <c:pt idx="317">
                  <c:v>1.97364751818635</c:v>
                </c:pt>
                <c:pt idx="318">
                  <c:v>1.81411068563491</c:v>
                </c:pt>
                <c:pt idx="319">
                  <c:v>1.65475469603912</c:v>
                </c:pt>
                <c:pt idx="320">
                  <c:v>1.49557761453742</c:v>
                </c:pt>
                <c:pt idx="321">
                  <c:v>1.3365795579153</c:v>
                </c:pt>
                <c:pt idx="322">
                  <c:v>1.17776275941298</c:v>
                </c:pt>
                <c:pt idx="323">
                  <c:v>1.01913162300897</c:v>
                </c:pt>
                <c:pt idx="324">
                  <c:v>0.860692767061915</c:v>
                </c:pt>
                <c:pt idx="325">
                  <c:v>0.702455057277977</c:v>
                </c:pt>
                <c:pt idx="326">
                  <c:v>0.544429629065117</c:v>
                </c:pt>
                <c:pt idx="327">
                  <c:v>0.386629899408079</c:v>
                </c:pt>
                <c:pt idx="328">
                  <c:v>0.229071568471814</c:v>
                </c:pt>
                <c:pt idx="329">
                  <c:v>0.0717726112009706</c:v>
                </c:pt>
                <c:pt idx="330">
                  <c:v>-0.0852467407654428</c:v>
                </c:pt>
                <c:pt idx="331">
                  <c:v>-0.24196402650114</c:v>
                </c:pt>
                <c:pt idx="332">
                  <c:v>-0.398354592132924</c:v>
                </c:pt>
                <c:pt idx="333">
                  <c:v>-0.554391635691324</c:v>
                </c:pt>
                <c:pt idx="334">
                  <c:v>-0.710046260045327</c:v>
                </c:pt>
                <c:pt idx="335">
                  <c:v>-0.865287533482058</c:v>
                </c:pt>
                <c:pt idx="336">
                  <c:v>-1.02008255749459</c:v>
                </c:pt>
                <c:pt idx="337">
                  <c:v>-1.17439654134874</c:v>
                </c:pt>
                <c:pt idx="338">
                  <c:v>-1.32819288301099</c:v>
                </c:pt>
                <c:pt idx="339">
                  <c:v>-1.48143325603698</c:v>
                </c:pt>
                <c:pt idx="340">
                  <c:v>-1.63407770203645</c:v>
                </c:pt>
                <c:pt idx="341">
                  <c:v>-1.78608472835497</c:v>
                </c:pt>
                <c:pt idx="342">
                  <c:v>-1.93741141063307</c:v>
                </c:pt>
                <c:pt idx="343">
                  <c:v>-2.08801349992271</c:v>
                </c:pt>
                <c:pt idx="344">
                  <c:v>-2.23784553406595</c:v>
                </c:pt>
                <c:pt idx="345">
                  <c:v>-2.38686095305272</c:v>
                </c:pt>
                <c:pt idx="346">
                  <c:v>-2.53501221809634</c:v>
                </c:pt>
                <c:pt idx="347">
                  <c:v>-2.68225093416989</c:v>
                </c:pt>
                <c:pt idx="348">
                  <c:v>-2.82852797576009</c:v>
                </c:pt>
                <c:pt idx="349">
                  <c:v>-2.97379361559425</c:v>
                </c:pt>
                <c:pt idx="350">
                  <c:v>-3.11799765609426</c:v>
                </c:pt>
                <c:pt idx="351">
                  <c:v>-3.26108956330677</c:v>
                </c:pt>
                <c:pt idx="352">
                  <c:v>-3.40301860304294</c:v>
                </c:pt>
                <c:pt idx="353">
                  <c:v>-3.54373397894776</c:v>
                </c:pt>
                <c:pt idx="354">
                  <c:v>-3.68318497219558</c:v>
                </c:pt>
                <c:pt idx="355">
                  <c:v>-3.82132108248216</c:v>
                </c:pt>
                <c:pt idx="356">
                  <c:v>-3.95809216995749</c:v>
                </c:pt>
                <c:pt idx="357">
                  <c:v>-4.09344859770784</c:v>
                </c:pt>
                <c:pt idx="358">
                  <c:v>-4.22734137436437</c:v>
                </c:pt>
                <c:pt idx="359">
                  <c:v>-4.359722296378</c:v>
                </c:pt>
                <c:pt idx="360">
                  <c:v>-4.49054408946603</c:v>
                </c:pt>
                <c:pt idx="361">
                  <c:v>-4.61976054870043</c:v>
                </c:pt>
                <c:pt idx="362">
                  <c:v>-4.74732667667412</c:v>
                </c:pt>
                <c:pt idx="363">
                  <c:v>-4.8731988191513</c:v>
                </c:pt>
                <c:pt idx="364">
                  <c:v>-4.99733479758123</c:v>
                </c:pt>
                <c:pt idx="365">
                  <c:v>-5.11969403783341</c:v>
                </c:pt>
                <c:pt idx="366">
                  <c:v>-5.24023769449469</c:v>
                </c:pt>
                <c:pt idx="367">
                  <c:v>-5.35892877006157</c:v>
                </c:pt>
                <c:pt idx="368">
                  <c:v>-5.47573222835671</c:v>
                </c:pt>
                <c:pt idx="369">
                  <c:v>-5.59061510150694</c:v>
                </c:pt>
                <c:pt idx="370">
                  <c:v>-5.70354658983295</c:v>
                </c:pt>
                <c:pt idx="371">
                  <c:v>-5.81449815402496</c:v>
                </c:pt>
                <c:pt idx="372">
                  <c:v>-5.9234435990127</c:v>
                </c:pt>
                <c:pt idx="373">
                  <c:v>-6.03035914897533</c:v>
                </c:pt>
                <c:pt idx="374">
                  <c:v>-6.13522351299302</c:v>
                </c:pt>
                <c:pt idx="375">
                  <c:v>-6.23801794089271</c:v>
                </c:pt>
                <c:pt idx="376">
                  <c:v>-6.33872626891448</c:v>
                </c:pt>
                <c:pt idx="377">
                  <c:v>-6.43733495488953</c:v>
                </c:pt>
                <c:pt idx="378">
                  <c:v>-6.53383310270483</c:v>
                </c:pt>
                <c:pt idx="379">
                  <c:v>-6.62821247590921</c:v>
                </c:pt>
                <c:pt idx="380">
                  <c:v>-6.72046750040275</c:v>
                </c:pt>
                <c:pt idx="381">
                  <c:v>-6.81059525623835</c:v>
                </c:pt>
                <c:pt idx="382">
                  <c:v>-6.89859545865466</c:v>
                </c:pt>
                <c:pt idx="383">
                  <c:v>-6.98447042854633</c:v>
                </c:pt>
                <c:pt idx="384">
                  <c:v>-7.06822505266301</c:v>
                </c:pt>
                <c:pt idx="385">
                  <c:v>-7.14986673391158</c:v>
                </c:pt>
                <c:pt idx="386">
                  <c:v>-7.22940533221295</c:v>
                </c:pt>
                <c:pt idx="387">
                  <c:v>-7.30685309643697</c:v>
                </c:pt>
                <c:pt idx="388">
                  <c:v>-7.38222458800181</c:v>
                </c:pt>
                <c:pt idx="389">
                  <c:v>-7.45553659678372</c:v>
                </c:pt>
                <c:pt idx="390">
                  <c:v>-7.5268080500295</c:v>
                </c:pt>
                <c:pt idx="391">
                  <c:v>-7.59605991500285</c:v>
                </c:pt>
                <c:pt idx="392">
                  <c:v>-7.66331509612822</c:v>
                </c:pt>
                <c:pt idx="393">
                  <c:v>-7.72859832741446</c:v>
                </c:pt>
                <c:pt idx="394">
                  <c:v>-7.79193606095181</c:v>
                </c:pt>
                <c:pt idx="395">
                  <c:v>-7.85335635227967</c:v>
                </c:pt>
                <c:pt idx="396">
                  <c:v>-7.91288874341346</c:v>
                </c:pt>
                <c:pt idx="397">
                  <c:v>-7.97056414430558</c:v>
                </c:pt>
                <c:pt idx="398">
                  <c:v>-8.02641471349288</c:v>
                </c:pt>
                <c:pt idx="399">
                  <c:v>-8.08047373865193</c:v>
                </c:pt>
                <c:pt idx="400">
                  <c:v>-8.1327755177505</c:v>
                </c:pt>
                <c:pt idx="401">
                  <c:v>-8.18335524143908</c:v>
                </c:pt>
                <c:pt idx="402">
                  <c:v>-8.2322488772856</c:v>
                </c:pt>
                <c:pt idx="403">
                  <c:v>-8.27949305640291</c:v>
                </c:pt>
                <c:pt idx="404">
                  <c:v>-8.32512496297323</c:v>
                </c:pt>
                <c:pt idx="405">
                  <c:v>-8.36918222711322</c:v>
                </c:pt>
                <c:pt idx="406">
                  <c:v>-8.41170282147872</c:v>
                </c:pt>
                <c:pt idx="407">
                  <c:v>-8.45272496194588</c:v>
                </c:pt>
                <c:pt idx="408">
                  <c:v>-8.49228701265763</c:v>
                </c:pt>
                <c:pt idx="409">
                  <c:v>-8.53042739567102</c:v>
                </c:pt>
                <c:pt idx="410">
                  <c:v>-8.56718450538856</c:v>
                </c:pt>
                <c:pt idx="411">
                  <c:v>-8.60259662791235</c:v>
                </c:pt>
                <c:pt idx="412">
                  <c:v>-8.63670186541161</c:v>
                </c:pt>
                <c:pt idx="413">
                  <c:v>-8.66953806555209</c:v>
                </c:pt>
                <c:pt idx="414">
                  <c:v>-8.70114275599894</c:v>
                </c:pt>
                <c:pt idx="415">
                  <c:v>-8.73155308396452</c:v>
                </c:pt>
                <c:pt idx="416">
                  <c:v>-8.76080576074461</c:v>
                </c:pt>
                <c:pt idx="417">
                  <c:v>-8.7889370111549</c:v>
                </c:pt>
                <c:pt idx="418">
                  <c:v>-8.81598252775277</c:v>
                </c:pt>
                <c:pt idx="419">
                  <c:v>-8.84197742971096</c:v>
                </c:pt>
                <c:pt idx="420">
                  <c:v>-8.86695622618883</c:v>
                </c:pt>
                <c:pt idx="421">
                  <c:v>-8.89095278402861</c:v>
                </c:pt>
                <c:pt idx="422">
                  <c:v>-8.91400029959701</c:v>
                </c:pt>
                <c:pt idx="423">
                  <c:v>-8.93613127457627</c:v>
                </c:pt>
                <c:pt idx="424">
                  <c:v>-8.95737749550556</c:v>
                </c:pt>
                <c:pt idx="425">
                  <c:v>-8.97777001686799</c:v>
                </c:pt>
                <c:pt idx="426">
                  <c:v>-8.99733914751339</c:v>
                </c:pt>
                <c:pt idx="427">
                  <c:v>-9.01611444020796</c:v>
                </c:pt>
                <c:pt idx="428">
                  <c:v>-9.03412468410315</c:v>
                </c:pt>
                <c:pt idx="429">
                  <c:v>-9.05139789991659</c:v>
                </c:pt>
                <c:pt idx="430">
                  <c:v>-9.06796133762314</c:v>
                </c:pt>
                <c:pt idx="431">
                  <c:v>-9.08384147645723</c:v>
                </c:pt>
                <c:pt idx="432">
                  <c:v>-9.09906402703733</c:v>
                </c:pt>
                <c:pt idx="433">
                  <c:v>-9.11365393542295</c:v>
                </c:pt>
                <c:pt idx="434">
                  <c:v>-9.1276353889298</c:v>
                </c:pt>
                <c:pt idx="435">
                  <c:v>-9.14103182352996</c:v>
                </c:pt>
                <c:pt idx="436">
                  <c:v>-9.15386593267588</c:v>
                </c:pt>
                <c:pt idx="437">
                  <c:v>-9.16615967739292</c:v>
                </c:pt>
                <c:pt idx="438">
                  <c:v>-9.17793429749619</c:v>
                </c:pt>
                <c:pt idx="439">
                  <c:v>-9.18921032379222</c:v>
                </c:pt>
                <c:pt idx="440">
                  <c:v>-9.2000075911387</c:v>
                </c:pt>
                <c:pt idx="441">
                  <c:v>-9.2103452522399</c:v>
                </c:pt>
                <c:pt idx="442">
                  <c:v>-9.22024179206749</c:v>
                </c:pt>
                <c:pt idx="443">
                  <c:v>-9.22971504280078</c:v>
                </c:pt>
                <c:pt idx="444">
                  <c:v>-9.23878219919128</c:v>
                </c:pt>
                <c:pt idx="445">
                  <c:v>-9.24745983426153</c:v>
                </c:pt>
                <c:pt idx="446">
                  <c:v>-9.25576391525813</c:v>
                </c:pt>
                <c:pt idx="447">
                  <c:v>-9.26370981978253</c:v>
                </c:pt>
                <c:pt idx="448">
                  <c:v>-9.27131235203244</c:v>
                </c:pt>
                <c:pt idx="449">
                  <c:v>-9.27858575909232</c:v>
                </c:pt>
                <c:pt idx="450">
                  <c:v>-9.28554374721548</c:v>
                </c:pt>
                <c:pt idx="451">
                  <c:v>-9.29219949804962</c:v>
                </c:pt>
                <c:pt idx="452">
                  <c:v>-9.29856568475796</c:v>
                </c:pt>
                <c:pt idx="453">
                  <c:v>-9.3046544879986</c:v>
                </c:pt>
                <c:pt idx="454">
                  <c:v>-9.31047761172391</c:v>
                </c:pt>
                <c:pt idx="455">
                  <c:v>-9.31604629877059</c:v>
                </c:pt>
                <c:pt idx="456">
                  <c:v>-9.32137134621103</c:v>
                </c:pt>
                <c:pt idx="457">
                  <c:v>-9.32646312044338</c:v>
                </c:pt>
                <c:pt idx="458">
                  <c:v>-9.33133157199999</c:v>
                </c:pt>
                <c:pt idx="459">
                  <c:v>-9.33598625005604</c:v>
                </c:pt>
                <c:pt idx="460">
                  <c:v>-9.3404363166239</c:v>
                </c:pt>
                <c:pt idx="461">
                  <c:v>-9.34469056042289</c:v>
                </c:pt>
                <c:pt idx="462">
                  <c:v>-9.34875741041203</c:v>
                </c:pt>
                <c:pt idx="463">
                  <c:v>-9.35264494898157</c:v>
                </c:pt>
                <c:pt idx="464">
                  <c:v>-9.35636092479529</c:v>
                </c:pt>
                <c:pt idx="465">
                  <c:v>-9.3599127652817</c:v>
                </c:pt>
                <c:pt idx="466">
                  <c:v>-9.36330758877085</c:v>
                </c:pt>
                <c:pt idx="467">
                  <c:v>-9.36655221627711</c:v>
                </c:pt>
                <c:pt idx="468">
                  <c:v>-9.36965318292748</c:v>
                </c:pt>
                <c:pt idx="469">
                  <c:v>-9.37261674903835</c:v>
                </c:pt>
                <c:pt idx="470">
                  <c:v>-9.37544891084256</c:v>
                </c:pt>
                <c:pt idx="471">
                  <c:v>-9.37815541087074</c:v>
                </c:pt>
                <c:pt idx="472">
                  <c:v>-9.38074174799162</c:v>
                </c:pt>
                <c:pt idx="473">
                  <c:v>-9.38321318711546</c:v>
                </c:pt>
                <c:pt idx="474">
                  <c:v>-9.38557476856823</c:v>
                </c:pt>
                <c:pt idx="475">
                  <c:v>-9.38783131713921</c:v>
                </c:pt>
                <c:pt idx="476">
                  <c:v>-9.38998745081348</c:v>
                </c:pt>
                <c:pt idx="477">
                  <c:v>-9.39204758919101</c:v>
                </c:pt>
                <c:pt idx="478">
                  <c:v>-9.39401596160347</c:v>
                </c:pt>
                <c:pt idx="479">
                  <c:v>-9.39589661493429</c:v>
                </c:pt>
                <c:pt idx="480">
                  <c:v>-9.39769342114971</c:v>
                </c:pt>
                <c:pt idx="481">
                  <c:v>-9.3994100845493</c:v>
                </c:pt>
                <c:pt idx="482">
                  <c:v>-9.40105014874299</c:v>
                </c:pt>
                <c:pt idx="483">
                  <c:v>-9.40261700336224</c:v>
                </c:pt>
                <c:pt idx="484">
                  <c:v>-9.40411389051501</c:v>
                </c:pt>
                <c:pt idx="485">
                  <c:v>-9.40554391098913</c:v>
                </c:pt>
                <c:pt idx="486">
                  <c:v>-9.40691003021539</c:v>
                </c:pt>
                <c:pt idx="487">
                  <c:v>-9.40821508399567</c:v>
                </c:pt>
                <c:pt idx="488">
                  <c:v>-9.40946178400458</c:v>
                </c:pt>
                <c:pt idx="489">
                  <c:v>-9.41065272307208</c:v>
                </c:pt>
                <c:pt idx="490">
                  <c:v>-9.41179038025501</c:v>
                </c:pt>
                <c:pt idx="491">
                  <c:v>-9.41287712570317</c:v>
                </c:pt>
                <c:pt idx="492">
                  <c:v>-9.41391522532992</c:v>
                </c:pt>
                <c:pt idx="493">
                  <c:v>-9.41490684529097</c:v>
                </c:pt>
                <c:pt idx="494">
                  <c:v>-9.41585405628086</c:v>
                </c:pt>
                <c:pt idx="495">
                  <c:v>-9.41675883765297</c:v>
                </c:pt>
                <c:pt idx="496">
                  <c:v>-9.41762308136834</c:v>
                </c:pt>
                <c:pt idx="497">
                  <c:v>-9.41844859578203</c:v>
                </c:pt>
                <c:pt idx="498">
                  <c:v>-9.41923710927098</c:v>
                </c:pt>
                <c:pt idx="499">
                  <c:v>-9.41999027371055</c:v>
                </c:pt>
                <c:pt idx="500">
                  <c:v>-9.42070966780557</c:v>
                </c:pt>
                <c:pt idx="501">
                  <c:v>-9.42139680028071</c:v>
                </c:pt>
                <c:pt idx="502">
                  <c:v>-9.4220531129363</c:v>
                </c:pt>
                <c:pt idx="503">
                  <c:v>-9.42267998357505</c:v>
                </c:pt>
                <c:pt idx="504">
                  <c:v>-9.42327872880452</c:v>
                </c:pt>
                <c:pt idx="505">
                  <c:v>-9.42385060671987</c:v>
                </c:pt>
                <c:pt idx="506">
                  <c:v>-9.42439681947181</c:v>
                </c:pt>
                <c:pt idx="507">
                  <c:v>-9.42491851572599</c:v>
                </c:pt>
                <c:pt idx="508">
                  <c:v>-9.42541679301531</c:v>
                </c:pt>
                <c:pt idx="509">
                  <c:v>-9.42589269999212</c:v>
                </c:pt>
                <c:pt idx="510">
                  <c:v>-9.42634723858255</c:v>
                </c:pt>
                <c:pt idx="511">
                  <c:v>-9.42678136604881</c:v>
                </c:pt>
                <c:pt idx="512">
                  <c:v>-9.42719599696179</c:v>
                </c:pt>
                <c:pt idx="513">
                  <c:v>-9.42759200508752</c:v>
                </c:pt>
                <c:pt idx="514">
                  <c:v>-9.42797022519281</c:v>
                </c:pt>
                <c:pt idx="515">
                  <c:v>-9.42833145477209</c:v>
                </c:pt>
                <c:pt idx="516">
                  <c:v>-9.42867645569796</c:v>
                </c:pt>
                <c:pt idx="517">
                  <c:v>-9.42900595580173</c:v>
                </c:pt>
                <c:pt idx="518">
                  <c:v>-9.42932065038289</c:v>
                </c:pt>
                <c:pt idx="519">
                  <c:v>-9.42962120365392</c:v>
                </c:pt>
                <c:pt idx="520">
                  <c:v>-9.4299082501213</c:v>
                </c:pt>
                <c:pt idx="521">
                  <c:v>-9.43018239590553</c:v>
                </c:pt>
                <c:pt idx="522">
                  <c:v>-9.43044422000441</c:v>
                </c:pt>
                <c:pt idx="523">
                  <c:v>-9.43069427549941</c:v>
                </c:pt>
                <c:pt idx="524">
                  <c:v>-9.43093309070945</c:v>
                </c:pt>
                <c:pt idx="525">
                  <c:v>-9.43116117029459</c:v>
                </c:pt>
                <c:pt idx="526">
                  <c:v>-9.43137899630978</c:v>
                </c:pt>
                <c:pt idx="527">
                  <c:v>-9.43158702921336</c:v>
                </c:pt>
                <c:pt idx="528">
                  <c:v>-9.43178570882949</c:v>
                </c:pt>
                <c:pt idx="529">
                  <c:v>-9.43197545526967</c:v>
                </c:pt>
                <c:pt idx="530">
                  <c:v>-9.43215666981272</c:v>
                </c:pt>
                <c:pt idx="531">
                  <c:v>-9.43232973574487</c:v>
                </c:pt>
                <c:pt idx="532">
                  <c:v>-9.43249501916479</c:v>
                </c:pt>
                <c:pt idx="533">
                  <c:v>-9.43265286975083</c:v>
                </c:pt>
                <c:pt idx="534">
                  <c:v>-9.43280362149519</c:v>
                </c:pt>
                <c:pt idx="535">
                  <c:v>-9.43294759340576</c:v>
                </c:pt>
                <c:pt idx="536">
                  <c:v>-9.43308509017574</c:v>
                </c:pt>
                <c:pt idx="537">
                  <c:v>-9.43321640282446</c:v>
                </c:pt>
                <c:pt idx="538">
                  <c:v>-9.43334180930918</c:v>
                </c:pt>
                <c:pt idx="539">
                  <c:v>-9.43346157511004</c:v>
                </c:pt>
                <c:pt idx="540">
                  <c:v>-9.43357595378867</c:v>
                </c:pt>
                <c:pt idx="541">
                  <c:v>-9.43368518752147</c:v>
                </c:pt>
              </c:numCache>
            </c:numRef>
          </c:yVal>
          <c:smooth val="1"/>
        </c:ser>
        <c:dLbls>
          <c:showLegendKey val="0"/>
          <c:showVal val="0"/>
          <c:showCatName val="0"/>
          <c:showSerName val="0"/>
          <c:showPercent val="0"/>
          <c:showBubbleSize val="0"/>
        </c:dLbls>
        <c:axId val="178901376"/>
        <c:axId val="178903296"/>
      </c:scatterChart>
      <c:scatterChart>
        <c:scatterStyle val="smooth"/>
        <c:varyColors val="0"/>
        <c:ser>
          <c:idx val="1"/>
          <c:order val="1"/>
          <c:spPr>
            <a:ln w="38100" cap="rnd" cmpd="sng" algn="ctr">
              <a:solidFill>
                <a:schemeClr val="tx1">
                  <a:lumMod val="95000"/>
                  <a:lumOff val="5000"/>
                </a:schemeClr>
              </a:solidFill>
              <a:prstDash val="sysDash"/>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Loop_Modeling!$BK$19:$BK$560</c:f>
              <c:numCache>
                <c:formatCode>General</c:formatCode>
                <c:ptCount val="542"/>
                <c:pt idx="0">
                  <c:v>88.9396916835134</c:v>
                </c:pt>
                <c:pt idx="1">
                  <c:v>88.9150978424127</c:v>
                </c:pt>
                <c:pt idx="2">
                  <c:v>88.8899385459682</c:v>
                </c:pt>
                <c:pt idx="3">
                  <c:v>88.8642011501164</c:v>
                </c:pt>
                <c:pt idx="4">
                  <c:v>88.8378727536334</c:v>
                </c:pt>
                <c:pt idx="5">
                  <c:v>88.8109401947756</c:v>
                </c:pt>
                <c:pt idx="6">
                  <c:v>88.7833900480254</c:v>
                </c:pt>
                <c:pt idx="7">
                  <c:v>88.7552086209566</c:v>
                </c:pt>
                <c:pt idx="8">
                  <c:v>88.7263819512361</c:v>
                </c:pt>
                <c:pt idx="9">
                  <c:v>88.6968958037785</c:v>
                </c:pt>
                <c:pt idx="10">
                  <c:v>88.6667356680731</c:v>
                </c:pt>
                <c:pt idx="11">
                  <c:v>88.6358867557027</c:v>
                </c:pt>
                <c:pt idx="12">
                  <c:v>88.6043339980769</c:v>
                </c:pt>
                <c:pt idx="13">
                  <c:v>88.5720620444017</c:v>
                </c:pt>
                <c:pt idx="14">
                  <c:v>88.5390552599113</c:v>
                </c:pt>
                <c:pt idx="15">
                  <c:v>88.5052977243884</c:v>
                </c:pt>
                <c:pt idx="16">
                  <c:v>88.4707732310025</c:v>
                </c:pt>
                <c:pt idx="17">
                  <c:v>88.4354652854954</c:v>
                </c:pt>
                <c:pt idx="18">
                  <c:v>88.3993571057481</c:v>
                </c:pt>
                <c:pt idx="19">
                  <c:v>88.3624316217638</c:v>
                </c:pt>
                <c:pt idx="20">
                  <c:v>88.3246714761046</c:v>
                </c:pt>
                <c:pt idx="21">
                  <c:v>88.2860590248217</c:v>
                </c:pt>
                <c:pt idx="22">
                  <c:v>88.2465763389227</c:v>
                </c:pt>
                <c:pt idx="23">
                  <c:v>88.2062052064213</c:v>
                </c:pt>
                <c:pt idx="24">
                  <c:v>88.1649271350182</c:v>
                </c:pt>
                <c:pt idx="25">
                  <c:v>88.1227233554646</c:v>
                </c:pt>
                <c:pt idx="26">
                  <c:v>88.0795748256655</c:v>
                </c:pt>
                <c:pt idx="27">
                  <c:v>88.0354622355785</c:v>
                </c:pt>
                <c:pt idx="28">
                  <c:v>87.9903660129734</c:v>
                </c:pt>
                <c:pt idx="29">
                  <c:v>87.9442663301179</c:v>
                </c:pt>
                <c:pt idx="30">
                  <c:v>87.8971431114594</c:v>
                </c:pt>
                <c:pt idx="31">
                  <c:v>87.8489760423778</c:v>
                </c:pt>
                <c:pt idx="32">
                  <c:v>87.7997445790892</c:v>
                </c:pt>
                <c:pt idx="33">
                  <c:v>87.7494279597829</c:v>
                </c:pt>
                <c:pt idx="34">
                  <c:v>87.6980052170809</c:v>
                </c:pt>
                <c:pt idx="35">
                  <c:v>87.6454551919131</c:v>
                </c:pt>
                <c:pt idx="36">
                  <c:v>87.5917565489068</c:v>
                </c:pt>
                <c:pt idx="37">
                  <c:v>87.5368877933943</c:v>
                </c:pt>
                <c:pt idx="38">
                  <c:v>87.4808272901478</c:v>
                </c:pt>
                <c:pt idx="39">
                  <c:v>87.423553283956</c:v>
                </c:pt>
                <c:pt idx="40">
                  <c:v>87.3650439221645</c:v>
                </c:pt>
                <c:pt idx="41">
                  <c:v>87.3052772793042</c:v>
                </c:pt>
                <c:pt idx="42">
                  <c:v>87.2442313839412</c:v>
                </c:pt>
                <c:pt idx="43">
                  <c:v>87.1818842478867</c:v>
                </c:pt>
                <c:pt idx="44">
                  <c:v>87.1182138979097</c:v>
                </c:pt>
                <c:pt idx="45">
                  <c:v>87.053198410104</c:v>
                </c:pt>
                <c:pt idx="46">
                  <c:v>86.9868159470639</c:v>
                </c:pt>
                <c:pt idx="47">
                  <c:v>86.9190447980318</c:v>
                </c:pt>
                <c:pt idx="48">
                  <c:v>86.8498634221829</c:v>
                </c:pt>
                <c:pt idx="49">
                  <c:v>86.7792504952215</c:v>
                </c:pt>
                <c:pt idx="50">
                  <c:v>86.7071849594649</c:v>
                </c:pt>
                <c:pt idx="51">
                  <c:v>86.6336460775967</c:v>
                </c:pt>
                <c:pt idx="52">
                  <c:v>86.558613490276</c:v>
                </c:pt>
                <c:pt idx="53">
                  <c:v>86.4820672777928</c:v>
                </c:pt>
                <c:pt idx="54">
                  <c:v>86.4039880259572</c:v>
                </c:pt>
                <c:pt idx="55">
                  <c:v>86.3243568964225</c:v>
                </c:pt>
                <c:pt idx="56">
                  <c:v>86.2431557016306</c:v>
                </c:pt>
                <c:pt idx="57">
                  <c:v>86.1603669845763</c:v>
                </c:pt>
                <c:pt idx="58">
                  <c:v>86.0759741035831</c:v>
                </c:pt>
                <c:pt idx="59">
                  <c:v>85.9899613222752</c:v>
                </c:pt>
                <c:pt idx="60">
                  <c:v>85.9023139049343</c:v>
                </c:pt>
                <c:pt idx="61">
                  <c:v>85.8130182174109</c:v>
                </c:pt>
                <c:pt idx="62">
                  <c:v>85.7220618337627</c:v>
                </c:pt>
                <c:pt idx="63">
                  <c:v>85.6294336487677</c:v>
                </c:pt>
                <c:pt idx="64">
                  <c:v>85.5351239964582</c:v>
                </c:pt>
                <c:pt idx="65">
                  <c:v>85.4391247747911</c:v>
                </c:pt>
                <c:pt idx="66">
                  <c:v>85.3414295765589</c:v>
                </c:pt>
                <c:pt idx="67">
                  <c:v>85.2420338266144</c:v>
                </c:pt>
                <c:pt idx="68">
                  <c:v>85.1409349254564</c:v>
                </c:pt>
                <c:pt idx="69">
                  <c:v>85.0381323991874</c:v>
                </c:pt>
                <c:pt idx="70">
                  <c:v>84.9336280558202</c:v>
                </c:pt>
                <c:pt idx="71">
                  <c:v>84.8274261478634</c:v>
                </c:pt>
                <c:pt idx="72">
                  <c:v>84.7195335410702</c:v>
                </c:pt>
                <c:pt idx="73">
                  <c:v>84.6099598891774</c:v>
                </c:pt>
                <c:pt idx="74">
                  <c:v>84.4987178144071</c:v>
                </c:pt>
                <c:pt idx="75">
                  <c:v>84.3858230934313</c:v>
                </c:pt>
                <c:pt idx="76">
                  <c:v>84.2712948484319</c:v>
                </c:pt>
                <c:pt idx="77">
                  <c:v>84.1551557428054</c:v>
                </c:pt>
                <c:pt idx="78">
                  <c:v>84.0374321809802</c:v>
                </c:pt>
                <c:pt idx="79">
                  <c:v>83.9181545117182</c:v>
                </c:pt>
                <c:pt idx="80">
                  <c:v>83.7973572341742</c:v>
                </c:pt>
                <c:pt idx="81">
                  <c:v>83.6750792058851</c:v>
                </c:pt>
                <c:pt idx="82">
                  <c:v>83.5513638517393</c:v>
                </c:pt>
                <c:pt idx="83">
                  <c:v>83.4262593728731</c:v>
                </c:pt>
                <c:pt idx="84">
                  <c:v>83.2998189543027</c:v>
                </c:pt>
                <c:pt idx="85">
                  <c:v>83.1721009699896</c:v>
                </c:pt>
                <c:pt idx="86">
                  <c:v>83.0431691838895</c:v>
                </c:pt>
                <c:pt idx="87">
                  <c:v>82.913092945418</c:v>
                </c:pt>
                <c:pt idx="88">
                  <c:v>82.7819473776188</c:v>
                </c:pt>
                <c:pt idx="89">
                  <c:v>82.6498135561975</c:v>
                </c:pt>
                <c:pt idx="90">
                  <c:v>82.516778677443</c:v>
                </c:pt>
                <c:pt idx="91">
                  <c:v>82.3829362129437</c:v>
                </c:pt>
                <c:pt idx="92">
                  <c:v>82.2483860488721</c:v>
                </c:pt>
                <c:pt idx="93">
                  <c:v>82.1132346075117</c:v>
                </c:pt>
                <c:pt idx="94">
                  <c:v>81.977594948597</c:v>
                </c:pt>
                <c:pt idx="95">
                  <c:v>81.8415868479547</c:v>
                </c:pt>
                <c:pt idx="96">
                  <c:v>81.7053368508665</c:v>
                </c:pt>
                <c:pt idx="97">
                  <c:v>81.5689782975339</c:v>
                </c:pt>
                <c:pt idx="98">
                  <c:v>81.4326513180022</c:v>
                </c:pt>
                <c:pt idx="99">
                  <c:v>81.2965027939121</c:v>
                </c:pt>
                <c:pt idx="100">
                  <c:v>81.1606862844878</c:v>
                </c:pt>
                <c:pt idx="101">
                  <c:v>81.0253619142433</c:v>
                </c:pt>
                <c:pt idx="102">
                  <c:v>80.8906962200054</c:v>
                </c:pt>
                <c:pt idx="103">
                  <c:v>80.756861955003</c:v>
                </c:pt>
                <c:pt idx="104">
                  <c:v>80.6240378479697</c:v>
                </c:pt>
                <c:pt idx="105">
                  <c:v>80.4924083154509</c:v>
                </c:pt>
                <c:pt idx="106">
                  <c:v>80.3621631257923</c:v>
                </c:pt>
                <c:pt idx="107">
                  <c:v>80.2334970136229</c:v>
                </c:pt>
                <c:pt idx="108">
                  <c:v>80.1066092440287</c:v>
                </c:pt>
                <c:pt idx="109">
                  <c:v>79.9817031260397</c:v>
                </c:pt>
                <c:pt idx="110">
                  <c:v>79.8589854755237</c:v>
                </c:pt>
                <c:pt idx="111">
                  <c:v>79.7386660280927</c:v>
                </c:pt>
                <c:pt idx="112">
                  <c:v>79.6209568031768</c:v>
                </c:pt>
                <c:pt idx="113">
                  <c:v>79.5060714209935</c:v>
                </c:pt>
                <c:pt idx="114">
                  <c:v>79.3942243747471</c:v>
                </c:pt>
                <c:pt idx="115">
                  <c:v>79.2856302610087</c:v>
                </c:pt>
                <c:pt idx="116">
                  <c:v>79.1805029718566</c:v>
                </c:pt>
                <c:pt idx="117">
                  <c:v>79.0790548529742</c:v>
                </c:pt>
                <c:pt idx="118">
                  <c:v>78.9814958325224</c:v>
                </c:pt>
                <c:pt idx="119">
                  <c:v>78.8880325261865</c:v>
                </c:pt>
                <c:pt idx="120">
                  <c:v>78.7988673243535</c:v>
                </c:pt>
                <c:pt idx="121">
                  <c:v>78.7141974678809</c:v>
                </c:pt>
                <c:pt idx="122">
                  <c:v>78.6342141193735</c:v>
                </c:pt>
                <c:pt idx="123">
                  <c:v>78.5591014372565</c:v>
                </c:pt>
                <c:pt idx="124">
                  <c:v>78.4890356602471</c:v>
                </c:pt>
                <c:pt idx="125">
                  <c:v>78.4241842100299</c:v>
                </c:pt>
                <c:pt idx="126">
                  <c:v>78.3647048200654</c:v>
                </c:pt>
                <c:pt idx="127">
                  <c:v>78.310744698473</c:v>
                </c:pt>
                <c:pt idx="128">
                  <c:v>78.2624397328348</c:v>
                </c:pt>
                <c:pt idx="129">
                  <c:v>78.2199137445678</c:v>
                </c:pt>
                <c:pt idx="130">
                  <c:v>78.183277800186</c:v>
                </c:pt>
                <c:pt idx="131">
                  <c:v>78.152629586365</c:v>
                </c:pt>
                <c:pt idx="132">
                  <c:v>78.1280528551691</c:v>
                </c:pt>
                <c:pt idx="133">
                  <c:v>78.1096169451896</c:v>
                </c:pt>
                <c:pt idx="134">
                  <c:v>78.0973763836079</c:v>
                </c:pt>
                <c:pt idx="135">
                  <c:v>78.0913705733946</c:v>
                </c:pt>
                <c:pt idx="136">
                  <c:v>78.0916235689905</c:v>
                </c:pt>
                <c:pt idx="137">
                  <c:v>78.0981439428712</c:v>
                </c:pt>
                <c:pt idx="138">
                  <c:v>78.1109247444467</c:v>
                </c:pt>
                <c:pt idx="139">
                  <c:v>78.1299435517405</c:v>
                </c:pt>
                <c:pt idx="140">
                  <c:v>78.155162615298</c:v>
                </c:pt>
                <c:pt idx="141">
                  <c:v>78.1865290927865</c:v>
                </c:pt>
                <c:pt idx="142">
                  <c:v>78.2239753717688</c:v>
                </c:pt>
                <c:pt idx="143">
                  <c:v>78.2674194772331</c:v>
                </c:pt>
                <c:pt idx="144">
                  <c:v>78.3167655595723</c:v>
                </c:pt>
                <c:pt idx="145">
                  <c:v>78.3719044579182</c:v>
                </c:pt>
                <c:pt idx="146">
                  <c:v>78.4327143330251</c:v>
                </c:pt>
                <c:pt idx="147">
                  <c:v>78.4990613632709</c:v>
                </c:pt>
                <c:pt idx="148">
                  <c:v>78.5708004968244</c:v>
                </c:pt>
                <c:pt idx="149">
                  <c:v>78.6477762526096</c:v>
                </c:pt>
                <c:pt idx="150">
                  <c:v>78.7298235624014</c:v>
                </c:pt>
                <c:pt idx="151">
                  <c:v>78.8167686461827</c:v>
                </c:pt>
                <c:pt idx="152">
                  <c:v>78.9084299128208</c:v>
                </c:pt>
                <c:pt idx="153">
                  <c:v>79.0046188781381</c:v>
                </c:pt>
                <c:pt idx="154">
                  <c:v>79.1051410925843</c:v>
                </c:pt>
                <c:pt idx="155">
                  <c:v>79.2097970709354</c:v>
                </c:pt>
                <c:pt idx="156">
                  <c:v>79.3183832167609</c:v>
                </c:pt>
                <c:pt idx="157">
                  <c:v>79.4306927347855</c:v>
                </c:pt>
                <c:pt idx="158">
                  <c:v>79.5465165247216</c:v>
                </c:pt>
                <c:pt idx="159">
                  <c:v>79.6656440506799</c:v>
                </c:pt>
                <c:pt idx="160">
                  <c:v>79.7878641807995</c:v>
                </c:pt>
                <c:pt idx="161">
                  <c:v>79.9129659923443</c:v>
                </c:pt>
                <c:pt idx="162">
                  <c:v>80.0407395381274</c:v>
                </c:pt>
                <c:pt idx="163">
                  <c:v>80.1709765707358</c:v>
                </c:pt>
                <c:pt idx="164">
                  <c:v>80.3034712216709</c:v>
                </c:pt>
                <c:pt idx="165">
                  <c:v>80.4380206331194</c:v>
                </c:pt>
                <c:pt idx="166">
                  <c:v>80.5744255406854</c:v>
                </c:pt>
                <c:pt idx="167">
                  <c:v>80.7124908059746</c:v>
                </c:pt>
                <c:pt idx="168">
                  <c:v>80.852025898478</c:v>
                </c:pt>
                <c:pt idx="169">
                  <c:v>80.9928453266957</c:v>
                </c:pt>
                <c:pt idx="170">
                  <c:v>81.1347690189243</c:v>
                </c:pt>
                <c:pt idx="171">
                  <c:v>81.2776226545368</c:v>
                </c:pt>
                <c:pt idx="172">
                  <c:v>81.4212379469768</c:v>
                </c:pt>
                <c:pt idx="173">
                  <c:v>81.5654528800052</c:v>
                </c:pt>
                <c:pt idx="174">
                  <c:v>81.7101118990272</c:v>
                </c:pt>
                <c:pt idx="175">
                  <c:v>81.8550660595701</c:v>
                </c:pt>
                <c:pt idx="176">
                  <c:v>82.0001731351567</c:v>
                </c:pt>
                <c:pt idx="177">
                  <c:v>82.1452976869896</c:v>
                </c:pt>
                <c:pt idx="178">
                  <c:v>82.2903110979515</c:v>
                </c:pt>
                <c:pt idx="179">
                  <c:v>82.4350915735116</c:v>
                </c:pt>
                <c:pt idx="180">
                  <c:v>82.5795241121518</c:v>
                </c:pt>
                <c:pt idx="181">
                  <c:v>82.7235004479451</c:v>
                </c:pt>
                <c:pt idx="182">
                  <c:v>82.8669189678793</c:v>
                </c:pt>
                <c:pt idx="183">
                  <c:v>83.0096846064892</c:v>
                </c:pt>
                <c:pt idx="184">
                  <c:v>83.1517087202767</c:v>
                </c:pt>
                <c:pt idx="185">
                  <c:v>83.29290894432</c:v>
                </c:pt>
                <c:pt idx="186">
                  <c:v>83.4332090333705</c:v>
                </c:pt>
                <c:pt idx="187">
                  <c:v>83.5725386896193</c:v>
                </c:pt>
                <c:pt idx="188">
                  <c:v>83.7108333792017</c:v>
                </c:pt>
                <c:pt idx="189">
                  <c:v>83.8480341393651</c:v>
                </c:pt>
                <c:pt idx="190">
                  <c:v>83.9840873781054</c:v>
                </c:pt>
                <c:pt idx="191">
                  <c:v>84.118944667939</c:v>
                </c:pt>
                <c:pt idx="192">
                  <c:v>84.2525625353342</c:v>
                </c:pt>
                <c:pt idx="193">
                  <c:v>84.3849022471987</c:v>
                </c:pt>
                <c:pt idx="194">
                  <c:v>84.5159295956864</c:v>
                </c:pt>
                <c:pt idx="195">
                  <c:v>84.645614682453</c:v>
                </c:pt>
                <c:pt idx="196">
                  <c:v>84.7739317033697</c:v>
                </c:pt>
                <c:pt idx="197">
                  <c:v>84.9008587345862</c:v>
                </c:pt>
                <c:pt idx="198">
                  <c:v>85.0263775207109</c:v>
                </c:pt>
                <c:pt idx="199">
                  <c:v>85.1504732657844</c:v>
                </c:pt>
                <c:pt idx="200">
                  <c:v>85.2731344276023</c:v>
                </c:pt>
                <c:pt idx="201">
                  <c:v>85.3943525158664</c:v>
                </c:pt>
                <c:pt idx="202">
                  <c:v>85.5141218945411</c:v>
                </c:pt>
                <c:pt idx="203">
                  <c:v>85.6324395887178</c:v>
                </c:pt>
                <c:pt idx="204">
                  <c:v>85.7493050962128</c:v>
                </c:pt>
                <c:pt idx="205">
                  <c:v>85.8647202040542</c:v>
                </c:pt>
                <c:pt idx="206">
                  <c:v>85.978688809951</c:v>
                </c:pt>
                <c:pt idx="207">
                  <c:v>86.0912167487795</c:v>
                </c:pt>
                <c:pt idx="208">
                  <c:v>86.202311624073</c:v>
                </c:pt>
                <c:pt idx="209">
                  <c:v>86.3119826444483</c:v>
                </c:pt>
                <c:pt idx="210">
                  <c:v>86.4202404648681</c:v>
                </c:pt>
                <c:pt idx="211">
                  <c:v>86.5270970325949</c:v>
                </c:pt>
                <c:pt idx="212">
                  <c:v>86.6325654376625</c:v>
                </c:pt>
                <c:pt idx="213">
                  <c:v>86.7366597676612</c:v>
                </c:pt>
                <c:pt idx="214">
                  <c:v>86.8393949666056</c:v>
                </c:pt>
                <c:pt idx="215">
                  <c:v>86.9407866976372</c:v>
                </c:pt>
                <c:pt idx="216">
                  <c:v>87.040851209286</c:v>
                </c:pt>
                <c:pt idx="217">
                  <c:v>87.139605205008</c:v>
                </c:pt>
                <c:pt idx="218">
                  <c:v>87.2370657156964</c:v>
                </c:pt>
                <c:pt idx="219">
                  <c:v>87.3332499748556</c:v>
                </c:pt>
                <c:pt idx="220">
                  <c:v>87.4281752961147</c:v>
                </c:pt>
                <c:pt idx="221">
                  <c:v>87.5218589527552</c:v>
                </c:pt>
                <c:pt idx="222">
                  <c:v>87.6143180589167</c:v>
                </c:pt>
                <c:pt idx="223">
                  <c:v>87.7055694521457</c:v>
                </c:pt>
                <c:pt idx="224">
                  <c:v>87.7956295769461</c:v>
                </c:pt>
                <c:pt idx="225">
                  <c:v>87.8845143689955</c:v>
                </c:pt>
                <c:pt idx="226">
                  <c:v>87.9722391396856</c:v>
                </c:pt>
                <c:pt idx="227">
                  <c:v>88.0588184606536</c:v>
                </c:pt>
                <c:pt idx="228">
                  <c:v>88.1442660479733</c:v>
                </c:pt>
                <c:pt idx="229">
                  <c:v>88.2285946456795</c:v>
                </c:pt>
                <c:pt idx="230">
                  <c:v>88.3118159083086</c:v>
                </c:pt>
                <c:pt idx="231">
                  <c:v>88.3939402821468</c:v>
                </c:pt>
                <c:pt idx="232">
                  <c:v>88.4749768848856</c:v>
                </c:pt>
                <c:pt idx="233">
                  <c:v>88.5549333834019</c:v>
                </c:pt>
                <c:pt idx="234">
                  <c:v>88.6338158693895</c:v>
                </c:pt>
                <c:pt idx="235">
                  <c:v>88.7116287325884</c:v>
                </c:pt>
                <c:pt idx="236">
                  <c:v>88.7883745313787</c:v>
                </c:pt>
                <c:pt idx="237">
                  <c:v>88.8640538605223</c:v>
                </c:pt>
                <c:pt idx="238">
                  <c:v>88.9386652158667</c:v>
                </c:pt>
                <c:pt idx="239">
                  <c:v>89.0122048558487</c:v>
                </c:pt>
                <c:pt idx="240">
                  <c:v>89.0846666596661</c:v>
                </c:pt>
                <c:pt idx="241">
                  <c:v>89.1560419820227</c:v>
                </c:pt>
                <c:pt idx="242">
                  <c:v>89.2263195043862</c:v>
                </c:pt>
                <c:pt idx="243">
                  <c:v>89.2954850827426</c:v>
                </c:pt>
                <c:pt idx="244">
                  <c:v>89.3635215918771</c:v>
                </c:pt>
                <c:pt idx="245">
                  <c:v>89.4304087662593</c:v>
                </c:pt>
                <c:pt idx="246">
                  <c:v>89.4961230376679</c:v>
                </c:pt>
                <c:pt idx="247">
                  <c:v>89.5606373697499</c:v>
                </c:pt>
                <c:pt idx="248">
                  <c:v>89.6239210897734</c:v>
                </c:pt>
                <c:pt idx="249">
                  <c:v>89.6859397179021</c:v>
                </c:pt>
                <c:pt idx="250">
                  <c:v>89.7466547943994</c:v>
                </c:pt>
                <c:pt idx="251">
                  <c:v>89.8060237052425</c:v>
                </c:pt>
                <c:pt idx="252">
                  <c:v>89.8639995067215</c:v>
                </c:pt>
                <c:pt idx="253">
                  <c:v>89.9205307496823</c:v>
                </c:pt>
                <c:pt idx="254">
                  <c:v>89.9755613041676</c:v>
                </c:pt>
                <c:pt idx="255">
                  <c:v>90.0290301853175</c:v>
                </c:pt>
                <c:pt idx="256">
                  <c:v>90.0808713814781</c:v>
                </c:pt>
                <c:pt idx="257">
                  <c:v>90.1310136855937</c:v>
                </c:pt>
                <c:pt idx="258">
                  <c:v>90.1793805310483</c:v>
                </c:pt>
                <c:pt idx="259">
                  <c:v>90.2258898332408</c:v>
                </c:pt>
                <c:pt idx="260">
                  <c:v>90.2704538382888</c:v>
                </c:pt>
                <c:pt idx="261">
                  <c:v>90.3129789803588</c:v>
                </c:pt>
                <c:pt idx="262">
                  <c:v>90.3533657492311</c:v>
                </c:pt>
                <c:pt idx="263">
                  <c:v>90.3915085698084</c:v>
                </c:pt>
                <c:pt idx="264">
                  <c:v>90.4272956953677</c:v>
                </c:pt>
                <c:pt idx="265">
                  <c:v>90.4606091164449</c:v>
                </c:pt>
                <c:pt idx="266">
                  <c:v>90.4913244873156</c:v>
                </c:pt>
                <c:pt idx="267">
                  <c:v>90.5193110720937</c:v>
                </c:pt>
                <c:pt idx="268">
                  <c:v>90.5444317125169</c:v>
                </c:pt>
                <c:pt idx="269">
                  <c:v>90.5665428195137</c:v>
                </c:pt>
                <c:pt idx="270">
                  <c:v>90.5854943906501</c:v>
                </c:pt>
                <c:pt idx="271">
                  <c:v>90.601130055533</c:v>
                </c:pt>
                <c:pt idx="272">
                  <c:v>90.6132871511968</c:v>
                </c:pt>
                <c:pt idx="273">
                  <c:v>90.6217968294318</c:v>
                </c:pt>
                <c:pt idx="274">
                  <c:v>90.6264841978871</c:v>
                </c:pt>
                <c:pt idx="275">
                  <c:v>90.6271684966471</c:v>
                </c:pt>
                <c:pt idx="276">
                  <c:v>90.623663311798</c:v>
                </c:pt>
                <c:pt idx="277">
                  <c:v>90.6157768272748</c:v>
                </c:pt>
                <c:pt idx="278">
                  <c:v>90.6033121160252</c:v>
                </c:pt>
                <c:pt idx="279">
                  <c:v>90.5860674712412</c:v>
                </c:pt>
                <c:pt idx="280">
                  <c:v>90.5638367780471</c:v>
                </c:pt>
                <c:pt idx="281">
                  <c:v>90.5364099257003</c:v>
                </c:pt>
                <c:pt idx="282">
                  <c:v>90.5035732599224</c:v>
                </c:pt>
                <c:pt idx="283">
                  <c:v>90.4651100745629</c:v>
                </c:pt>
                <c:pt idx="284">
                  <c:v>90.4208011413349</c:v>
                </c:pt>
                <c:pt idx="285">
                  <c:v>90.3704252758678</c:v>
                </c:pt>
                <c:pt idx="286">
                  <c:v>90.313759937848</c:v>
                </c:pt>
                <c:pt idx="287">
                  <c:v>90.2505818624869</c:v>
                </c:pt>
                <c:pt idx="288">
                  <c:v>90.1806677200848</c:v>
                </c:pt>
                <c:pt idx="289">
                  <c:v>90.1037947999305</c:v>
                </c:pt>
                <c:pt idx="290">
                  <c:v>90.0197417143414</c:v>
                </c:pt>
                <c:pt idx="291">
                  <c:v>89.9282891181702</c:v>
                </c:pt>
                <c:pt idx="292">
                  <c:v>89.8292204387209</c:v>
                </c:pt>
                <c:pt idx="293">
                  <c:v>89.7223226106539</c:v>
                </c:pt>
                <c:pt idx="294">
                  <c:v>89.607386810156</c:v>
                </c:pt>
                <c:pt idx="295">
                  <c:v>89.4842091824354</c:v>
                </c:pt>
                <c:pt idx="296">
                  <c:v>89.3525915564307</c:v>
                </c:pt>
                <c:pt idx="297">
                  <c:v>89.2123421405674</c:v>
                </c:pt>
                <c:pt idx="298">
                  <c:v>89.0632761934039</c:v>
                </c:pt>
                <c:pt idx="299">
                  <c:v>88.9052166631202</c:v>
                </c:pt>
                <c:pt idx="300">
                  <c:v>88.7379947900104</c:v>
                </c:pt>
                <c:pt idx="301">
                  <c:v>88.5614506664409</c:v>
                </c:pt>
                <c:pt idx="302">
                  <c:v>88.375433749123</c:v>
                </c:pt>
                <c:pt idx="303">
                  <c:v>88.1798033190395</c:v>
                </c:pt>
                <c:pt idx="304">
                  <c:v>87.974428884923</c:v>
                </c:pt>
                <c:pt idx="305">
                  <c:v>87.7591905268335</c:v>
                </c:pt>
                <c:pt idx="306">
                  <c:v>87.5339791770784</c:v>
                </c:pt>
                <c:pt idx="307">
                  <c:v>87.2986968364864</c:v>
                </c:pt>
                <c:pt idx="308">
                  <c:v>87.0532567248373</c:v>
                </c:pt>
                <c:pt idx="309">
                  <c:v>86.7975833650935</c:v>
                </c:pt>
                <c:pt idx="310">
                  <c:v>86.5316126018902</c:v>
                </c:pt>
                <c:pt idx="311">
                  <c:v>86.2552915556119</c:v>
                </c:pt>
                <c:pt idx="312">
                  <c:v>85.9685785141584</c:v>
                </c:pt>
                <c:pt idx="313">
                  <c:v>85.6714427653293</c:v>
                </c:pt>
                <c:pt idx="314">
                  <c:v>85.3638643734557</c:v>
                </c:pt>
                <c:pt idx="315">
                  <c:v>85.0458339046117</c:v>
                </c:pt>
                <c:pt idx="316">
                  <c:v>84.7173521053235</c:v>
                </c:pt>
                <c:pt idx="317">
                  <c:v>84.3784295402327</c:v>
                </c:pt>
                <c:pt idx="318">
                  <c:v>84.0290861946048</c:v>
                </c:pt>
                <c:pt idx="319">
                  <c:v>83.6693510478977</c:v>
                </c:pt>
                <c:pt idx="320">
                  <c:v>83.2992616248775</c:v>
                </c:pt>
                <c:pt idx="321">
                  <c:v>82.9188635308825</c:v>
                </c:pt>
                <c:pt idx="322">
                  <c:v>82.5282099779039</c:v>
                </c:pt>
                <c:pt idx="323">
                  <c:v>82.1273613080752</c:v>
                </c:pt>
                <c:pt idx="324">
                  <c:v>81.716384521041</c:v>
                </c:pt>
                <c:pt idx="325">
                  <c:v>81.2953528114103</c:v>
                </c:pt>
                <c:pt idx="326">
                  <c:v>80.8643451222201</c:v>
                </c:pt>
                <c:pt idx="327">
                  <c:v>80.4234457199082</c:v>
                </c:pt>
                <c:pt idx="328">
                  <c:v>79.9727437958798</c:v>
                </c:pt>
                <c:pt idx="329">
                  <c:v>79.5123330992191</c:v>
                </c:pt>
                <c:pt idx="330">
                  <c:v>79.0423116045632</c:v>
                </c:pt>
                <c:pt idx="331">
                  <c:v>78.5627812185575</c:v>
                </c:pt>
                <c:pt idx="332">
                  <c:v>78.0738475277241</c:v>
                </c:pt>
                <c:pt idx="333">
                  <c:v>77.5756195899154</c:v>
                </c:pt>
                <c:pt idx="334">
                  <c:v>77.068209770929</c:v>
                </c:pt>
                <c:pt idx="335">
                  <c:v>76.5517336271988</c:v>
                </c:pt>
                <c:pt idx="336">
                  <c:v>76.0263098348759</c:v>
                </c:pt>
                <c:pt idx="337">
                  <c:v>75.492060164986</c:v>
                </c:pt>
                <c:pt idx="338">
                  <c:v>74.9491095037811</c:v>
                </c:pt>
                <c:pt idx="339">
                  <c:v>74.3975859168315</c:v>
                </c:pt>
                <c:pt idx="340">
                  <c:v>73.8376207548727</c:v>
                </c:pt>
                <c:pt idx="341">
                  <c:v>73.269348798933</c:v>
                </c:pt>
                <c:pt idx="342">
                  <c:v>72.6929084417992</c:v>
                </c:pt>
                <c:pt idx="343">
                  <c:v>72.1084419024629</c:v>
                </c:pt>
                <c:pt idx="344">
                  <c:v>71.5160954698021</c:v>
                </c:pt>
                <c:pt idx="345">
                  <c:v>70.9160197714185</c:v>
                </c:pt>
                <c:pt idx="346">
                  <c:v>70.3083700632591</c:v>
                </c:pt>
                <c:pt idx="347">
                  <c:v>69.6933065353885</c:v>
                </c:pt>
                <c:pt idx="348">
                  <c:v>69.0709946290846</c:v>
                </c:pt>
                <c:pt idx="349">
                  <c:v>68.4416053602576</c:v>
                </c:pt>
                <c:pt idx="350">
                  <c:v>67.8053156440871</c:v>
                </c:pt>
                <c:pt idx="351">
                  <c:v>67.1623086156962</c:v>
                </c:pt>
                <c:pt idx="352">
                  <c:v>66.5127739416618</c:v>
                </c:pt>
                <c:pt idx="353">
                  <c:v>65.8569081171911</c:v>
                </c:pt>
                <c:pt idx="354">
                  <c:v>65.1949147438568</c:v>
                </c:pt>
                <c:pt idx="355">
                  <c:v>64.5270047829207</c:v>
                </c:pt>
                <c:pt idx="356">
                  <c:v>63.8533967794278</c:v>
                </c:pt>
                <c:pt idx="357">
                  <c:v>63.1743170524891</c:v>
                </c:pt>
                <c:pt idx="358">
                  <c:v>62.4899998474224</c:v>
                </c:pt>
                <c:pt idx="359">
                  <c:v>61.8006874457444</c:v>
                </c:pt>
                <c:pt idx="360">
                  <c:v>61.1066302293604</c:v>
                </c:pt>
                <c:pt idx="361">
                  <c:v>60.4080866957019</c:v>
                </c:pt>
                <c:pt idx="362">
                  <c:v>59.705323421011</c:v>
                </c:pt>
                <c:pt idx="363">
                  <c:v>58.9986149694469</c:v>
                </c:pt>
                <c:pt idx="364">
                  <c:v>58.2882437462182</c:v>
                </c:pt>
                <c:pt idx="365">
                  <c:v>57.5744997934795</c:v>
                </c:pt>
                <c:pt idx="366">
                  <c:v>56.8576805283199</c:v>
                </c:pt>
                <c:pt idx="367">
                  <c:v>56.1380904227491</c:v>
                </c:pt>
                <c:pt idx="368">
                  <c:v>55.416040626207</c:v>
                </c:pt>
                <c:pt idx="369">
                  <c:v>54.691848531716</c:v>
                </c:pt>
                <c:pt idx="370">
                  <c:v>53.9658372874218</c:v>
                </c:pt>
                <c:pt idx="371">
                  <c:v>53.2383352558474</c:v>
                </c:pt>
                <c:pt idx="372">
                  <c:v>52.5096754237783</c:v>
                </c:pt>
                <c:pt idx="373">
                  <c:v>51.7801947662414</c:v>
                </c:pt>
                <c:pt idx="374">
                  <c:v>51.050233568552</c:v>
                </c:pt>
                <c:pt idx="375">
                  <c:v>50.3201347108832</c:v>
                </c:pt>
                <c:pt idx="376">
                  <c:v>49.5902429202308</c:v>
                </c:pt>
                <c:pt idx="377">
                  <c:v>48.8609039950038</c:v>
                </c:pt>
                <c:pt idx="378">
                  <c:v>48.1324640077863</c:v>
                </c:pt>
                <c:pt idx="379">
                  <c:v>47.4052684920283</c:v>
                </c:pt>
                <c:pt idx="380">
                  <c:v>46.6796616186098</c:v>
                </c:pt>
                <c:pt idx="381">
                  <c:v>45.9559853682849</c:v>
                </c:pt>
                <c:pt idx="382">
                  <c:v>45.234578706041</c:v>
                </c:pt>
                <c:pt idx="383">
                  <c:v>44.5157767633444</c:v>
                </c:pt>
                <c:pt idx="384">
                  <c:v>43.7999100341037</c:v>
                </c:pt>
                <c:pt idx="385">
                  <c:v>43.0873035899801</c:v>
                </c:pt>
                <c:pt idx="386">
                  <c:v>42.378276320412</c:v>
                </c:pt>
                <c:pt idx="387">
                  <c:v>41.6731402023825</c:v>
                </c:pt>
                <c:pt idx="388">
                  <c:v>40.9721996045785</c:v>
                </c:pt>
                <c:pt idx="389">
                  <c:v>40.2757506301704</c:v>
                </c:pt>
                <c:pt idx="390">
                  <c:v>39.5840805019643</c:v>
                </c:pt>
                <c:pt idx="391">
                  <c:v>38.8974669931846</c:v>
                </c:pt>
                <c:pt idx="392">
                  <c:v>38.216177906637</c:v>
                </c:pt>
                <c:pt idx="393">
                  <c:v>37.5404706044549</c:v>
                </c:pt>
                <c:pt idx="394">
                  <c:v>36.870591590115</c:v>
                </c:pt>
                <c:pt idx="395">
                  <c:v>36.2067761438628</c:v>
                </c:pt>
                <c:pt idx="396">
                  <c:v>35.549248012177</c:v>
                </c:pt>
                <c:pt idx="397">
                  <c:v>34.8982191513999</c:v>
                </c:pt>
                <c:pt idx="398">
                  <c:v>34.2538895251776</c:v>
                </c:pt>
                <c:pt idx="399">
                  <c:v>33.6164469549168</c:v>
                </c:pt>
                <c:pt idx="400">
                  <c:v>32.9860670220412</c:v>
                </c:pt>
                <c:pt idx="401">
                  <c:v>32.3629130204601</c:v>
                </c:pt>
                <c:pt idx="402">
                  <c:v>31.7471359573371</c:v>
                </c:pt>
                <c:pt idx="403">
                  <c:v>31.1388745999284</c:v>
                </c:pt>
                <c:pt idx="404">
                  <c:v>30.5382555660441</c:v>
                </c:pt>
                <c:pt idx="405">
                  <c:v>29.945393455452</c:v>
                </c:pt>
                <c:pt idx="406">
                  <c:v>29.3603910194001</c:v>
                </c:pt>
                <c:pt idx="407">
                  <c:v>28.7833393652985</c:v>
                </c:pt>
                <c:pt idx="408">
                  <c:v>28.2143181935305</c:v>
                </c:pt>
                <c:pt idx="409">
                  <c:v>27.6533960633094</c:v>
                </c:pt>
                <c:pt idx="410">
                  <c:v>27.1006306844923</c:v>
                </c:pt>
                <c:pt idx="411">
                  <c:v>26.5560692322828</c:v>
                </c:pt>
                <c:pt idx="412">
                  <c:v>26.0197486818049</c:v>
                </c:pt>
                <c:pt idx="413">
                  <c:v>25.4916961596022</c:v>
                </c:pt>
                <c:pt idx="414">
                  <c:v>24.9719293092218</c:v>
                </c:pt>
                <c:pt idx="415">
                  <c:v>24.4604566681461</c:v>
                </c:pt>
                <c:pt idx="416">
                  <c:v>23.957278053479</c:v>
                </c:pt>
                <c:pt idx="417">
                  <c:v>23.4623849539285</c:v>
                </c:pt>
                <c:pt idx="418">
                  <c:v>22.9757609257825</c:v>
                </c:pt>
                <c:pt idx="419">
                  <c:v>22.4973819907328</c:v>
                </c:pt>
                <c:pt idx="420">
                  <c:v>22.0272170335716</c:v>
                </c:pt>
                <c:pt idx="421">
                  <c:v>21.5652281979371</c:v>
                </c:pt>
                <c:pt idx="422">
                  <c:v>21.1113712784675</c:v>
                </c:pt>
                <c:pt idx="423">
                  <c:v>20.6655961078661</c:v>
                </c:pt>
                <c:pt idx="424">
                  <c:v>20.227846937557</c:v>
                </c:pt>
                <c:pt idx="425">
                  <c:v>19.7980628107554</c:v>
                </c:pt>
                <c:pt idx="426">
                  <c:v>19.3761779269262</c:v>
                </c:pt>
                <c:pt idx="427">
                  <c:v>18.962121996751</c:v>
                </c:pt>
                <c:pt idx="428">
                  <c:v>18.5558205868535</c:v>
                </c:pt>
                <c:pt idx="429">
                  <c:v>18.1571954536608</c:v>
                </c:pt>
                <c:pt idx="430">
                  <c:v>17.7661648659</c:v>
                </c:pt>
                <c:pt idx="431">
                  <c:v>17.3826439153324</c:v>
                </c:pt>
                <c:pt idx="432">
                  <c:v>17.006544815436</c:v>
                </c:pt>
                <c:pt idx="433">
                  <c:v>16.6377771878341</c:v>
                </c:pt>
                <c:pt idx="434">
                  <c:v>16.2762483363555</c:v>
                </c:pt>
                <c:pt idx="435">
                  <c:v>15.9218635086871</c:v>
                </c:pt>
                <c:pt idx="436">
                  <c:v>15.5745261456479</c:v>
                </c:pt>
                <c:pt idx="437">
                  <c:v>15.2341381181739</c:v>
                </c:pt>
                <c:pt idx="438">
                  <c:v>14.9005999521569</c:v>
                </c:pt>
                <c:pt idx="439">
                  <c:v>14.5738110413312</c:v>
                </c:pt>
                <c:pt idx="440">
                  <c:v>14.2536698484345</c:v>
                </c:pt>
                <c:pt idx="441">
                  <c:v>13.9400740949132</c:v>
                </c:pt>
                <c:pt idx="442">
                  <c:v>13.6329209394644</c:v>
                </c:pt>
                <c:pt idx="443">
                  <c:v>13.3321071457359</c:v>
                </c:pt>
                <c:pt idx="444">
                  <c:v>13.0375292395224</c:v>
                </c:pt>
                <c:pt idx="445">
                  <c:v>12.7490836558121</c:v>
                </c:pt>
                <c:pt idx="446">
                  <c:v>12.4666668760491</c:v>
                </c:pt>
                <c:pt idx="447">
                  <c:v>12.1901755559878</c:v>
                </c:pt>
                <c:pt idx="448">
                  <c:v>11.919506644515</c:v>
                </c:pt>
                <c:pt idx="449">
                  <c:v>11.6545574938238</c:v>
                </c:pt>
                <c:pt idx="450">
                  <c:v>11.3952259613188</c:v>
                </c:pt>
                <c:pt idx="451">
                  <c:v>11.1414105036324</c:v>
                </c:pt>
                <c:pt idx="452">
                  <c:v>10.8930102631265</c:v>
                </c:pt>
                <c:pt idx="453">
                  <c:v>10.6499251472494</c:v>
                </c:pt>
                <c:pt idx="454">
                  <c:v>10.4120559011091</c:v>
                </c:pt>
                <c:pt idx="455">
                  <c:v>10.1793041736183</c:v>
                </c:pt>
                <c:pt idx="456">
                  <c:v>9.95157257755439</c:v>
                </c:pt>
                <c:pt idx="457">
                  <c:v>9.72876474387095</c:v>
                </c:pt>
                <c:pt idx="458">
                  <c:v>9.51078537058482</c:v>
                </c:pt>
                <c:pt idx="459">
                  <c:v>9.29754026655139</c:v>
                </c:pt>
                <c:pt idx="460">
                  <c:v>9.08893639043181</c:v>
                </c:pt>
                <c:pt idx="461">
                  <c:v>8.88488188514202</c:v>
                </c:pt>
                <c:pt idx="462">
                  <c:v>8.6852861080629</c:v>
                </c:pt>
                <c:pt idx="463">
                  <c:v>8.49005965727886</c:v>
                </c:pt>
                <c:pt idx="464">
                  <c:v>8.29911439410119</c:v>
                </c:pt>
                <c:pt idx="465">
                  <c:v>8.1123634621193</c:v>
                </c:pt>
                <c:pt idx="466">
                  <c:v>7.92972130301348</c:v>
                </c:pt>
                <c:pt idx="467">
                  <c:v>7.7511036693506</c:v>
                </c:pt>
                <c:pt idx="468">
                  <c:v>7.57642763457271</c:v>
                </c:pt>
                <c:pt idx="469">
                  <c:v>7.40561160037913</c:v>
                </c:pt>
                <c:pt idx="470">
                  <c:v>7.23857530169091</c:v>
                </c:pt>
                <c:pt idx="471">
                  <c:v>7.07523980937745</c:v>
                </c:pt>
                <c:pt idx="472">
                  <c:v>6.91552753091426</c:v>
                </c:pt>
                <c:pt idx="473">
                  <c:v>6.75936220913257</c:v>
                </c:pt>
                <c:pt idx="474">
                  <c:v>6.60666891921158</c:v>
                </c:pt>
                <c:pt idx="475">
                  <c:v>6.45737406405551</c:v>
                </c:pt>
                <c:pt idx="476">
                  <c:v>6.31140536819028</c:v>
                </c:pt>
                <c:pt idx="477">
                  <c:v>6.16869187030453</c:v>
                </c:pt>
                <c:pt idx="478">
                  <c:v>6.029163914555</c:v>
                </c:pt>
                <c:pt idx="479">
                  <c:v>5.89275314074552</c:v>
                </c:pt>
                <c:pt idx="480">
                  <c:v>5.75939247348567</c:v>
                </c:pt>
                <c:pt idx="481">
                  <c:v>5.6290161104253</c:v>
                </c:pt>
                <c:pt idx="482">
                  <c:v>5.50155950965664</c:v>
                </c:pt>
                <c:pt idx="483">
                  <c:v>5.37695937636972</c:v>
                </c:pt>
                <c:pt idx="484">
                  <c:v>5.25515364884022</c:v>
                </c:pt>
                <c:pt idx="485">
                  <c:v>5.13608148382455</c:v>
                </c:pt>
                <c:pt idx="486">
                  <c:v>5.01968324143109</c:v>
                </c:pt>
                <c:pt idx="487">
                  <c:v>4.90590046953266</c:v>
                </c:pt>
                <c:pt idx="488">
                  <c:v>4.79467588777967</c:v>
                </c:pt>
                <c:pt idx="489">
                  <c:v>4.68595337127012</c:v>
                </c:pt>
                <c:pt idx="490">
                  <c:v>4.57967793392821</c:v>
                </c:pt>
                <c:pt idx="491">
                  <c:v>4.47579571163922</c:v>
                </c:pt>
                <c:pt idx="492">
                  <c:v>4.37425394518573</c:v>
                </c:pt>
                <c:pt idx="493">
                  <c:v>4.27500096302558</c:v>
                </c:pt>
                <c:pt idx="494">
                  <c:v>4.17798616395014</c:v>
                </c:pt>
                <c:pt idx="495">
                  <c:v>4.08315999965789</c:v>
                </c:pt>
                <c:pt idx="496">
                  <c:v>3.99047395727484</c:v>
                </c:pt>
                <c:pt idx="497">
                  <c:v>3.89988054185296</c:v>
                </c:pt>
                <c:pt idx="498">
                  <c:v>3.81133325887213</c:v>
                </c:pt>
                <c:pt idx="499">
                  <c:v>3.72478659677232</c:v>
                </c:pt>
                <c:pt idx="500">
                  <c:v>3.64019600953754</c:v>
                </c:pt>
                <c:pt idx="501">
                  <c:v>3.55751789935345</c:v>
                </c:pt>
                <c:pt idx="502">
                  <c:v>3.4767095993568</c:v>
                </c:pt>
                <c:pt idx="503">
                  <c:v>3.39772935649517</c:v>
                </c:pt>
                <c:pt idx="504">
                  <c:v>3.32053631451155</c:v>
                </c:pt>
                <c:pt idx="505">
                  <c:v>3.24509049706872</c:v>
                </c:pt>
                <c:pt idx="506">
                  <c:v>3.17135279102606</c:v>
                </c:pt>
                <c:pt idx="507">
                  <c:v>3.09928492988031</c:v>
                </c:pt>
                <c:pt idx="508">
                  <c:v>3.02884947738056</c:v>
                </c:pt>
                <c:pt idx="509">
                  <c:v>2.96000981132657</c:v>
                </c:pt>
                <c:pt idx="510">
                  <c:v>2.89273010755874</c:v>
                </c:pt>
                <c:pt idx="511">
                  <c:v>2.82697532414702</c:v>
                </c:pt>
                <c:pt idx="512">
                  <c:v>2.76271118578441</c:v>
                </c:pt>
                <c:pt idx="513">
                  <c:v>2.69990416839116</c:v>
                </c:pt>
                <c:pt idx="514">
                  <c:v>2.63852148393396</c:v>
                </c:pt>
                <c:pt idx="515">
                  <c:v>2.57853106546446</c:v>
                </c:pt>
                <c:pt idx="516">
                  <c:v>2.51990155237949</c:v>
                </c:pt>
                <c:pt idx="517">
                  <c:v>2.4626022759069</c:v>
                </c:pt>
                <c:pt idx="518">
                  <c:v>2.40660324481821</c:v>
                </c:pt>
                <c:pt idx="519">
                  <c:v>2.35187513137019</c:v>
                </c:pt>
                <c:pt idx="520">
                  <c:v>2.29838925747597</c:v>
                </c:pt>
                <c:pt idx="521">
                  <c:v>2.2461175811069</c:v>
                </c:pt>
                <c:pt idx="522">
                  <c:v>2.19503268292541</c:v>
                </c:pt>
                <c:pt idx="523">
                  <c:v>2.14510775314818</c:v>
                </c:pt>
                <c:pt idx="524">
                  <c:v>2.09631657864007</c:v>
                </c:pt>
                <c:pt idx="525">
                  <c:v>2.04863353023734</c:v>
                </c:pt>
                <c:pt idx="526">
                  <c:v>2.00203355029974</c:v>
                </c:pt>
                <c:pt idx="527">
                  <c:v>1.95649214048988</c:v>
                </c:pt>
                <c:pt idx="528">
                  <c:v>1.91198534977835</c:v>
                </c:pt>
                <c:pt idx="529">
                  <c:v>1.86848976267324</c:v>
                </c:pt>
                <c:pt idx="530">
                  <c:v>1.82598248767181</c:v>
                </c:pt>
                <c:pt idx="531">
                  <c:v>1.78444114593255</c:v>
                </c:pt>
                <c:pt idx="532">
                  <c:v>1.74384386016531</c:v>
                </c:pt>
                <c:pt idx="533">
                  <c:v>1.70416924373699</c:v>
                </c:pt>
                <c:pt idx="534">
                  <c:v>1.66539638999077</c:v>
                </c:pt>
                <c:pt idx="535">
                  <c:v>1.62750486177583</c:v>
                </c:pt>
                <c:pt idx="536">
                  <c:v>1.59047468118537</c:v>
                </c:pt>
                <c:pt idx="537">
                  <c:v>1.55428631949983</c:v>
                </c:pt>
                <c:pt idx="538">
                  <c:v>1.51892068733255</c:v>
                </c:pt>
                <c:pt idx="539">
                  <c:v>1.48435912497544</c:v>
                </c:pt>
                <c:pt idx="540">
                  <c:v>1.45058339294109</c:v>
                </c:pt>
                <c:pt idx="541">
                  <c:v>1.41757566269885</c:v>
                </c:pt>
              </c:numCache>
            </c:numRef>
          </c:yVal>
          <c:smooth val="1"/>
        </c:ser>
        <c:dLbls>
          <c:showLegendKey val="0"/>
          <c:showVal val="0"/>
          <c:showCatName val="0"/>
          <c:showSerName val="0"/>
          <c:showPercent val="0"/>
          <c:showBubbleSize val="0"/>
        </c:dLbls>
        <c:axId val="178915200"/>
        <c:axId val="178913664"/>
      </c:scatterChart>
      <c:valAx>
        <c:axId val="178901376"/>
        <c:scaling>
          <c:logBase val="10"/>
          <c:orientation val="minMax"/>
          <c:max val="22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903296"/>
        <c:crosses val="autoZero"/>
        <c:crossBetween val="midCat"/>
      </c:valAx>
      <c:valAx>
        <c:axId val="178903296"/>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solidFill>
                      <a:srgbClr val="FF0000"/>
                    </a:solidFill>
                  </a:rPr>
                  <a:t>Gain</a:t>
                </a:r>
                <a:r>
                  <a:rPr lang="en-US" baseline="0">
                    <a:solidFill>
                      <a:srgbClr val="FF0000"/>
                    </a:solidFill>
                  </a:rPr>
                  <a:t> (dB)</a:t>
                </a:r>
                <a:endParaRPr lang="en-US">
                  <a:solidFill>
                    <a:srgbClr val="FF0000"/>
                  </a:solidFill>
                </a:endParaRPr>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0" i="0" u="none" strike="noStrike" kern="1200" baseline="0">
                <a:solidFill>
                  <a:srgbClr val="FF0000"/>
                </a:solidFill>
                <a:latin typeface="+mn-lt"/>
                <a:ea typeface="+mn-ea"/>
                <a:cs typeface="+mn-cs"/>
              </a:defRPr>
            </a:pPr>
          </a:p>
        </c:txPr>
        <c:crossAx val="178901376"/>
        <c:crosses val="autoZero"/>
        <c:crossBetween val="midCat"/>
        <c:majorUnit val="20"/>
        <c:minorUnit val="10"/>
      </c:valAx>
      <c:valAx>
        <c:axId val="178915200"/>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913664"/>
        <c:crosses val="autoZero"/>
        <c:crossBetween val="midCat"/>
      </c:valAx>
      <c:valAx>
        <c:axId val="178913664"/>
        <c:scaling>
          <c:orientation val="minMax"/>
          <c:max val="180"/>
          <c:min val="-180"/>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lumMod val="95000"/>
                    <a:lumOff val="5000"/>
                  </a:schemeClr>
                </a:solidFill>
                <a:latin typeface="+mn-lt"/>
                <a:ea typeface="+mn-ea"/>
                <a:cs typeface="+mn-cs"/>
              </a:defRPr>
            </a:pPr>
          </a:p>
        </c:txPr>
        <c:crossAx val="178915200"/>
        <c:crosses val="max"/>
        <c:crossBetween val="midCat"/>
        <c:majorUnit val="90"/>
        <c:minorUnit val="45"/>
      </c:valAx>
    </c:plotArea>
    <c:plotVisOnly val="1"/>
    <c:dispBlanksAs val="gap"/>
    <c:showDLblsOverMax val="0"/>
    <c:extLst>
      <c:ext uri="{0b15fc19-7d7d-44ad-8c2d-2c3a37ce22c3}">
        <chartProps xmlns="https://web.wps.cn/et/2018/main" chartId="{b4989062-e712-4921-b8f5-b113f4e82bf7}"/>
      </c:ext>
    </c:extLst>
  </c:chart>
  <c:txPr>
    <a:bodyPr/>
    <a:lstStyle/>
    <a:p>
      <a:pPr>
        <a:defRPr lang="pl-PL"/>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pl-PL" sz="1800" b="1" i="0" u="none" strike="noStrike" kern="1200" baseline="0">
                <a:solidFill>
                  <a:schemeClr val="tx1"/>
                </a:solidFill>
                <a:latin typeface="+mn-lt"/>
                <a:ea typeface="+mn-ea"/>
                <a:cs typeface="+mn-cs"/>
              </a:defRPr>
            </a:pPr>
            <a:r>
              <a:rPr lang="en-US" baseline="0"/>
              <a:t>Total Control Loop Transfer Function</a:t>
            </a:r>
            <a:endParaRPr lang="en-US" baseline="0"/>
          </a:p>
        </c:rich>
      </c:tx>
      <c:layout/>
      <c:overlay val="0"/>
    </c:title>
    <c:autoTitleDeleted val="0"/>
    <c:plotArea>
      <c:layout/>
      <c:scatterChart>
        <c:scatterStyle val="smooth"/>
        <c:varyColors val="0"/>
        <c:ser>
          <c:idx val="0"/>
          <c:order val="0"/>
          <c:spPr>
            <a:ln w="38100" cap="rnd" cmpd="sng" algn="ctr">
              <a:solidFill>
                <a:srgbClr val="FF0000"/>
              </a:solidFill>
              <a:prstDash val="solid"/>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Loop_Modeling!$BL$19:$BL$560</c:f>
              <c:numCache>
                <c:formatCode>General</c:formatCode>
                <c:ptCount val="542"/>
                <c:pt idx="0">
                  <c:v>52.402787408511</c:v>
                </c:pt>
                <c:pt idx="1">
                  <c:v>52.2016092309354</c:v>
                </c:pt>
                <c:pt idx="2">
                  <c:v>52.0003760189477</c:v>
                </c:pt>
                <c:pt idx="3">
                  <c:v>51.7990852258814</c:v>
                </c:pt>
                <c:pt idx="4">
                  <c:v>51.59773418953</c:v>
                </c:pt>
                <c:pt idx="5">
                  <c:v>51.3963201271256</c:v>
                </c:pt>
                <c:pt idx="6">
                  <c:v>51.1948401301211</c:v>
                </c:pt>
                <c:pt idx="7">
                  <c:v>50.9932911587697</c:v>
                </c:pt>
                <c:pt idx="8">
                  <c:v>50.7916700364954</c:v>
                </c:pt>
                <c:pt idx="9">
                  <c:v>50.5899734440516</c:v>
                </c:pt>
                <c:pt idx="10">
                  <c:v>50.388197913459</c:v>
                </c:pt>
                <c:pt idx="11">
                  <c:v>50.1863398217203</c:v>
                </c:pt>
                <c:pt idx="12">
                  <c:v>49.9843953843067</c:v>
                </c:pt>
                <c:pt idx="13">
                  <c:v>49.7823606484081</c:v>
                </c:pt>
                <c:pt idx="14">
                  <c:v>49.5802314859483</c:v>
                </c:pt>
                <c:pt idx="15">
                  <c:v>49.3780035863553</c:v>
                </c:pt>
                <c:pt idx="16">
                  <c:v>49.1756724490878</c:v>
                </c:pt>
                <c:pt idx="17">
                  <c:v>48.9732333759115</c:v>
                </c:pt>
                <c:pt idx="18">
                  <c:v>48.7706814629247</c:v>
                </c:pt>
                <c:pt idx="19">
                  <c:v>48.5680115923304</c:v>
                </c:pt>
                <c:pt idx="20">
                  <c:v>48.3652184239545</c:v>
                </c:pt>
                <c:pt idx="21">
                  <c:v>48.1622963865089</c:v>
                </c:pt>
                <c:pt idx="22">
                  <c:v>47.9592396686013</c:v>
                </c:pt>
                <c:pt idx="23">
                  <c:v>47.7560422094923</c:v>
                </c:pt>
                <c:pt idx="24">
                  <c:v>47.5526976896046</c:v>
                </c:pt>
                <c:pt idx="25">
                  <c:v>47.3491995207865</c:v>
                </c:pt>
                <c:pt idx="26">
                  <c:v>47.1455408363374</c:v>
                </c:pt>
                <c:pt idx="27">
                  <c:v>46.9417144808024</c:v>
                </c:pt>
                <c:pt idx="28">
                  <c:v>46.7377129995438</c:v>
                </c:pt>
                <c:pt idx="29">
                  <c:v>46.5335286281037</c:v>
                </c:pt>
                <c:pt idx="30">
                  <c:v>46.3291532813688</c:v>
                </c:pt>
                <c:pt idx="31">
                  <c:v>46.1245785425549</c:v>
                </c:pt>
                <c:pt idx="32">
                  <c:v>45.919795652029</c:v>
                </c:pt>
                <c:pt idx="33">
                  <c:v>45.7147954959909</c:v>
                </c:pt>
                <c:pt idx="34">
                  <c:v>45.5095685950387</c:v>
                </c:pt>
                <c:pt idx="35">
                  <c:v>45.3041050926465</c:v>
                </c:pt>
                <c:pt idx="36">
                  <c:v>45.0983947435859</c:v>
                </c:pt>
                <c:pt idx="37">
                  <c:v>44.8924269023265</c:v>
                </c:pt>
                <c:pt idx="38">
                  <c:v>44.6861905114563</c:v>
                </c:pt>
                <c:pt idx="39">
                  <c:v>44.4796740901652</c:v>
                </c:pt>
                <c:pt idx="40">
                  <c:v>44.2728657228415</c:v>
                </c:pt>
                <c:pt idx="41">
                  <c:v>44.0657530478353</c:v>
                </c:pt>
                <c:pt idx="42">
                  <c:v>43.85832324645</c:v>
                </c:pt>
                <c:pt idx="43">
                  <c:v>43.6505630322257</c:v>
                </c:pt>
                <c:pt idx="44">
                  <c:v>43.4424586405876</c:v>
                </c:pt>
                <c:pt idx="45">
                  <c:v>43.233995818937</c:v>
                </c:pt>
                <c:pt idx="46">
                  <c:v>43.025159817271</c:v>
                </c:pt>
                <c:pt idx="47">
                  <c:v>42.8159353794214</c:v>
                </c:pt>
                <c:pt idx="48">
                  <c:v>42.6063067350133</c:v>
                </c:pt>
                <c:pt idx="49">
                  <c:v>42.3962575922499</c:v>
                </c:pt>
                <c:pt idx="50">
                  <c:v>42.1857711316391</c:v>
                </c:pt>
                <c:pt idx="51">
                  <c:v>41.9748300007822</c:v>
                </c:pt>
                <c:pt idx="52">
                  <c:v>41.7634163103588</c:v>
                </c:pt>
                <c:pt idx="53">
                  <c:v>41.5515116314441</c:v>
                </c:pt>
                <c:pt idx="54">
                  <c:v>41.3390969943066</c:v>
                </c:pt>
                <c:pt idx="55">
                  <c:v>41.1261528888415</c:v>
                </c:pt>
                <c:pt idx="56">
                  <c:v>40.912659266802</c:v>
                </c:pt>
                <c:pt idx="57">
                  <c:v>40.6985955459996</c:v>
                </c:pt>
                <c:pt idx="58">
                  <c:v>40.4839406166507</c:v>
                </c:pt>
                <c:pt idx="59">
                  <c:v>40.2686728500542</c:v>
                </c:pt>
                <c:pt idx="60">
                  <c:v>40.0527701097893</c:v>
                </c:pt>
                <c:pt idx="61">
                  <c:v>39.8362097656308</c:v>
                </c:pt>
                <c:pt idx="62">
                  <c:v>39.6189687103794</c:v>
                </c:pt>
                <c:pt idx="63">
                  <c:v>39.4010233798112</c:v>
                </c:pt>
                <c:pt idx="64">
                  <c:v>39.1823497759494</c:v>
                </c:pt>
                <c:pt idx="65">
                  <c:v>38.9629234938622</c:v>
                </c:pt>
                <c:pt idx="66">
                  <c:v>38.742719752191</c:v>
                </c:pt>
                <c:pt idx="67">
                  <c:v>38.521713427604</c:v>
                </c:pt>
                <c:pt idx="68">
                  <c:v>38.2998790933708</c:v>
                </c:pt>
                <c:pt idx="69">
                  <c:v>38.0771910622398</c:v>
                </c:pt>
                <c:pt idx="70">
                  <c:v>37.8536234337909</c:v>
                </c:pt>
                <c:pt idx="71">
                  <c:v>37.6291501464231</c:v>
                </c:pt>
                <c:pt idx="72">
                  <c:v>37.4037450341158</c:v>
                </c:pt>
                <c:pt idx="73">
                  <c:v>37.1773818880862</c:v>
                </c:pt>
                <c:pt idx="74">
                  <c:v>36.9500345234368</c:v>
                </c:pt>
                <c:pt idx="75">
                  <c:v>36.721676850864</c:v>
                </c:pt>
                <c:pt idx="76">
                  <c:v>36.492282953462</c:v>
                </c:pt>
                <c:pt idx="77">
                  <c:v>36.2618271686254</c:v>
                </c:pt>
                <c:pt idx="78">
                  <c:v>36.0302841750143</c:v>
                </c:pt>
                <c:pt idx="79">
                  <c:v>35.7976290844995</c:v>
                </c:pt>
                <c:pt idx="80">
                  <c:v>35.5638375389651</c:v>
                </c:pt>
                <c:pt idx="81">
                  <c:v>35.3288858117905</c:v>
                </c:pt>
                <c:pt idx="82">
                  <c:v>35.0927509137871</c:v>
                </c:pt>
                <c:pt idx="83">
                  <c:v>34.8554107033027</c:v>
                </c:pt>
                <c:pt idx="84">
                  <c:v>34.6168440001573</c:v>
                </c:pt>
                <c:pt idx="85">
                  <c:v>34.3770307030069</c:v>
                </c:pt>
                <c:pt idx="86">
                  <c:v>34.1359519096777</c:v>
                </c:pt>
                <c:pt idx="87">
                  <c:v>33.8935900399479</c:v>
                </c:pt>
                <c:pt idx="88">
                  <c:v>33.6499289601978</c:v>
                </c:pt>
                <c:pt idx="89">
                  <c:v>33.4049541092854</c:v>
                </c:pt>
                <c:pt idx="90">
                  <c:v>33.1586526249521</c:v>
                </c:pt>
                <c:pt idx="91">
                  <c:v>32.9110134700048</c:v>
                </c:pt>
                <c:pt idx="92">
                  <c:v>32.6620275574746</c:v>
                </c:pt>
                <c:pt idx="93">
                  <c:v>32.4116878739043</c:v>
                </c:pt>
                <c:pt idx="94">
                  <c:v>32.1599895998787</c:v>
                </c:pt>
                <c:pt idx="95">
                  <c:v>31.9069302268811</c:v>
                </c:pt>
                <c:pt idx="96">
                  <c:v>31.6525096695324</c:v>
                </c:pt>
                <c:pt idx="97">
                  <c:v>31.3967303722558</c:v>
                </c:pt>
                <c:pt idx="98">
                  <c:v>31.1395974094034</c:v>
                </c:pt>
                <c:pt idx="99">
                  <c:v>30.8811185778826</c:v>
                </c:pt>
                <c:pt idx="100">
                  <c:v>30.6213044813368</c:v>
                </c:pt>
                <c:pt idx="101">
                  <c:v>30.3601686049593</c:v>
                </c:pt>
                <c:pt idx="102">
                  <c:v>30.0977273800529</c:v>
                </c:pt>
                <c:pt idx="103">
                  <c:v>29.8340002374966</c:v>
                </c:pt>
                <c:pt idx="104">
                  <c:v>29.5690096493354</c:v>
                </c:pt>
                <c:pt idx="105">
                  <c:v>29.3027811577797</c:v>
                </c:pt>
                <c:pt idx="106">
                  <c:v>29.0353433909749</c:v>
                </c:pt>
                <c:pt idx="107">
                  <c:v>28.7667280649881</c:v>
                </c:pt>
                <c:pt idx="108">
                  <c:v>28.4969699715531</c:v>
                </c:pt>
                <c:pt idx="109">
                  <c:v>28.2261069512182</c:v>
                </c:pt>
                <c:pt idx="110">
                  <c:v>27.9541798516421</c:v>
                </c:pt>
                <c:pt idx="111">
                  <c:v>27.6812324708992</c:v>
                </c:pt>
                <c:pt idx="112">
                  <c:v>27.407311485771</c:v>
                </c:pt>
                <c:pt idx="113">
                  <c:v>27.1324663651112</c:v>
                </c:pt>
                <c:pt idx="114">
                  <c:v>26.8567492684979</c:v>
                </c:pt>
                <c:pt idx="115">
                  <c:v>26.5802149304928</c:v>
                </c:pt>
                <c:pt idx="116">
                  <c:v>26.302920530954</c:v>
                </c:pt>
                <c:pt idx="117">
                  <c:v>26.0249255519482</c:v>
                </c:pt>
                <c:pt idx="118">
                  <c:v>25.7462916219271</c:v>
                </c:pt>
                <c:pt idx="119">
                  <c:v>25.4670823479261</c:v>
                </c:pt>
                <c:pt idx="120">
                  <c:v>25.1873631366445</c:v>
                </c:pt>
                <c:pt idx="121">
                  <c:v>24.907201005353</c:v>
                </c:pt>
                <c:pt idx="122">
                  <c:v>24.6266643836571</c:v>
                </c:pt>
                <c:pt idx="123">
                  <c:v>24.3458229072149</c:v>
                </c:pt>
                <c:pt idx="124">
                  <c:v>24.0647472045744</c:v>
                </c:pt>
                <c:pt idx="125">
                  <c:v>23.7835086783475</c:v>
                </c:pt>
                <c:pt idx="126">
                  <c:v>23.5021792819849</c:v>
                </c:pt>
                <c:pt idx="127">
                  <c:v>23.2208312934478</c:v>
                </c:pt>
                <c:pt idx="128">
                  <c:v>22.939537087098</c:v>
                </c:pt>
                <c:pt idx="129">
                  <c:v>22.6583689051436</c:v>
                </c:pt>
                <c:pt idx="130">
                  <c:v>22.3773986299797</c:v>
                </c:pt>
                <c:pt idx="131">
                  <c:v>22.0966975587561</c:v>
                </c:pt>
                <c:pt idx="132">
                  <c:v>21.816336181489</c:v>
                </c:pt>
                <c:pt idx="133">
                  <c:v>21.5363839640047</c:v>
                </c:pt>
                <c:pt idx="134">
                  <c:v>21.2569091369686</c:v>
                </c:pt>
                <c:pt idx="135">
                  <c:v>20.9779784922002</c:v>
                </c:pt>
                <c:pt idx="136">
                  <c:v>20.6996571874247</c:v>
                </c:pt>
                <c:pt idx="137">
                  <c:v>20.42200856054</c:v>
                </c:pt>
                <c:pt idx="138">
                  <c:v>20.1450939544066</c:v>
                </c:pt>
                <c:pt idx="139">
                  <c:v>19.8689725530805</c:v>
                </c:pt>
                <c:pt idx="140">
                  <c:v>19.593701230325</c:v>
                </c:pt>
                <c:pt idx="141">
                  <c:v>19.3193344111321</c:v>
                </c:pt>
                <c:pt idx="142">
                  <c:v>19.0459239468854</c:v>
                </c:pt>
                <c:pt idx="143">
                  <c:v>18.7735190046869</c:v>
                </c:pt>
                <c:pt idx="144">
                  <c:v>18.5021659712557</c:v>
                </c:pt>
                <c:pt idx="145">
                  <c:v>18.231908371694</c:v>
                </c:pt>
                <c:pt idx="146">
                  <c:v>17.9627868032957</c:v>
                </c:pt>
                <c:pt idx="147">
                  <c:v>17.6948388844591</c:v>
                </c:pt>
                <c:pt idx="148">
                  <c:v>17.428099218647</c:v>
                </c:pt>
                <c:pt idx="149">
                  <c:v>17.1625993732232</c:v>
                </c:pt>
                <c:pt idx="150">
                  <c:v>16.8983678728874</c:v>
                </c:pt>
                <c:pt idx="151">
                  <c:v>16.6354302073231</c:v>
                </c:pt>
                <c:pt idx="152">
                  <c:v>16.3738088525732</c:v>
                </c:pt>
                <c:pt idx="153">
                  <c:v>16.1135233055719</c:v>
                </c:pt>
                <c:pt idx="154">
                  <c:v>15.8545901311712</c:v>
                </c:pt>
                <c:pt idx="155">
                  <c:v>15.5970230209319</c:v>
                </c:pt>
                <c:pt idx="156">
                  <c:v>15.3408328628821</c:v>
                </c:pt>
                <c:pt idx="157">
                  <c:v>15.0860278213934</c:v>
                </c:pt>
                <c:pt idx="158">
                  <c:v>14.8326134262805</c:v>
                </c:pt>
                <c:pt idx="159">
                  <c:v>14.5805926701993</c:v>
                </c:pt>
                <c:pt idx="160">
                  <c:v>14.3299661133972</c:v>
                </c:pt>
                <c:pt idx="161">
                  <c:v>14.0807319948552</c:v>
                </c:pt>
                <c:pt idx="162">
                  <c:v>13.8328863488672</c:v>
                </c:pt>
                <c:pt idx="163">
                  <c:v>13.5864231261027</c:v>
                </c:pt>
                <c:pt idx="164">
                  <c:v>13.3413343182281</c:v>
                </c:pt>
                <c:pt idx="165">
                  <c:v>13.0976100851768</c:v>
                </c:pt>
                <c:pt idx="166">
                  <c:v>12.8552388842036</c:v>
                </c:pt>
                <c:pt idx="167">
                  <c:v>12.6142075998922</c:v>
                </c:pt>
                <c:pt idx="168">
                  <c:v>12.3745016743364</c:v>
                </c:pt>
                <c:pt idx="169">
                  <c:v>12.1361052367632</c:v>
                </c:pt>
                <c:pt idx="170">
                  <c:v>11.8990012319242</c:v>
                </c:pt>
                <c:pt idx="171">
                  <c:v>11.6631715466396</c:v>
                </c:pt>
                <c:pt idx="172">
                  <c:v>11.428597133935</c:v>
                </c:pt>
                <c:pt idx="173">
                  <c:v>11.1952581342786</c:v>
                </c:pt>
                <c:pt idx="174">
                  <c:v>10.9631339934809</c:v>
                </c:pt>
                <c:pt idx="175">
                  <c:v>10.7322035768842</c:v>
                </c:pt>
                <c:pt idx="176">
                  <c:v>10.5024452795245</c:v>
                </c:pt>
                <c:pt idx="177">
                  <c:v>10.2738371320081</c:v>
                </c:pt>
                <c:pt idx="178">
                  <c:v>10.0463569018996</c:v>
                </c:pt>
                <c:pt idx="179">
                  <c:v>9.81998219046691</c:v>
                </c:pt>
                <c:pt idx="180">
                  <c:v>9.59469052468262</c:v>
                </c:pt>
                <c:pt idx="181">
                  <c:v>9.37045944442203</c:v>
                </c:pt>
                <c:pt idx="182">
                  <c:v>9.14726658484215</c:v>
                </c:pt>
                <c:pt idx="183">
                  <c:v>8.92508975396155</c:v>
                </c:pt>
                <c:pt idx="184">
                  <c:v>8.70390700549942</c:v>
                </c:pt>
                <c:pt idx="185">
                  <c:v>8.48369670705819</c:v>
                </c:pt>
                <c:pt idx="186">
                  <c:v>8.26443760376193</c:v>
                </c:pt>
                <c:pt idx="187">
                  <c:v>8.04610887748794</c:v>
                </c:pt>
                <c:pt idx="188">
                  <c:v>7.82869020184602</c:v>
                </c:pt>
                <c:pt idx="189">
                  <c:v>7.61216179307747</c:v>
                </c:pt>
                <c:pt idx="190">
                  <c:v>7.39650445705871</c:v>
                </c:pt>
                <c:pt idx="191">
                  <c:v>7.18169963260452</c:v>
                </c:pt>
                <c:pt idx="192">
                  <c:v>6.96772943127508</c:v>
                </c:pt>
                <c:pt idx="193">
                  <c:v>6.75457667389224</c:v>
                </c:pt>
                <c:pt idx="194">
                  <c:v>6.54222492397853</c:v>
                </c:pt>
                <c:pt idx="195">
                  <c:v>6.3306585183283</c:v>
                </c:pt>
                <c:pt idx="196">
                  <c:v>6.11986259492286</c:v>
                </c:pt>
                <c:pt idx="197">
                  <c:v>5.90982311839706</c:v>
                </c:pt>
                <c:pt idx="198">
                  <c:v>5.70052690325995</c:v>
                </c:pt>
                <c:pt idx="199">
                  <c:v>5.49196163507033</c:v>
                </c:pt>
                <c:pt idx="200">
                  <c:v>5.28411588975547</c:v>
                </c:pt>
                <c:pt idx="201">
                  <c:v>5.07697915126131</c:v>
                </c:pt>
                <c:pt idx="202">
                  <c:v>4.87054182770763</c:v>
                </c:pt>
                <c:pt idx="203">
                  <c:v>4.6647952662164</c:v>
                </c:pt>
                <c:pt idx="204">
                  <c:v>4.45973176657179</c:v>
                </c:pt>
                <c:pt idx="205">
                  <c:v>4.25534459385932</c:v>
                </c:pt>
                <c:pt idx="206">
                  <c:v>4.0516279902227</c:v>
                </c:pt>
                <c:pt idx="207">
                  <c:v>3.84857718586514</c:v>
                </c:pt>
                <c:pt idx="208">
                  <c:v>3.64618840941177</c:v>
                </c:pt>
                <c:pt idx="209">
                  <c:v>3.44445889773934</c:v>
                </c:pt>
                <c:pt idx="210">
                  <c:v>3.24338690536801</c:v>
                </c:pt>
                <c:pt idx="211">
                  <c:v>3.04297171349625</c:v>
                </c:pt>
                <c:pt idx="212">
                  <c:v>2.84321363875431</c:v>
                </c:pt>
                <c:pt idx="213">
                  <c:v>2.64411404173395</c:v>
                </c:pt>
                <c:pt idx="214">
                  <c:v>2.44567533534532</c:v>
                </c:pt>
                <c:pt idx="215">
                  <c:v>2.24790099303624</c:v>
                </c:pt>
                <c:pt idx="216">
                  <c:v>2.05079555690311</c:v>
                </c:pt>
                <c:pt idx="217">
                  <c:v>1.85436464570286</c:v>
                </c:pt>
                <c:pt idx="218">
                  <c:v>1.65861496277265</c:v>
                </c:pt>
                <c:pt idx="219">
                  <c:v>1.46355430384285</c:v>
                </c:pt>
                <c:pt idx="220">
                  <c:v>1.26919156472625</c:v>
                </c:pt>
                <c:pt idx="221">
                  <c:v>1.07553674884271</c:v>
                </c:pt>
                <c:pt idx="222">
                  <c:v>0.882600974539104</c:v>
                </c:pt>
                <c:pt idx="223">
                  <c:v>0.690396482139967</c:v>
                </c:pt>
                <c:pt idx="224">
                  <c:v>0.498936640657972</c:v>
                </c:pt>
                <c:pt idx="225">
                  <c:v>0.308235954079658</c:v>
                </c:pt>
                <c:pt idx="226">
                  <c:v>0.118310067127236</c:v>
                </c:pt>
                <c:pt idx="227">
                  <c:v>-0.0708242296167131</c:v>
                </c:pt>
                <c:pt idx="228">
                  <c:v>-0.259148995345746</c:v>
                </c:pt>
                <c:pt idx="229">
                  <c:v>-0.446645135566918</c:v>
                </c:pt>
                <c:pt idx="230">
                  <c:v>-0.633292399693331</c:v>
                </c:pt>
                <c:pt idx="231">
                  <c:v>-0.819069379856529</c:v>
                </c:pt>
                <c:pt idx="232">
                  <c:v>-1.00395351112224</c:v>
                </c:pt>
                <c:pt idx="233">
                  <c:v>-1.18792107330217</c:v>
                </c:pt>
                <c:pt idx="234">
                  <c:v>-1.37094719457053</c:v>
                </c:pt>
                <c:pt idx="235">
                  <c:v>-1.55300585710781</c:v>
                </c:pt>
                <c:pt idx="236">
                  <c:v>-1.73406990500576</c:v>
                </c:pt>
                <c:pt idx="237">
                  <c:v>-1.91411105468083</c:v>
                </c:pt>
                <c:pt idx="238">
                  <c:v>-2.0930999080556</c:v>
                </c:pt>
                <c:pt idx="239">
                  <c:v>-2.27100596877812</c:v>
                </c:pt>
                <c:pt idx="240">
                  <c:v>-2.44779766175976</c:v>
                </c:pt>
                <c:pt idx="241">
                  <c:v>-2.62344235632003</c:v>
                </c:pt>
                <c:pt idx="242">
                  <c:v>-2.79790639323563</c:v>
                </c:pt>
                <c:pt idx="243">
                  <c:v>-2.97115511599522</c:v>
                </c:pt>
                <c:pt idx="244">
                  <c:v>-3.14315290656667</c:v>
                </c:pt>
                <c:pt idx="245">
                  <c:v>-3.31386322598346</c:v>
                </c:pt>
                <c:pt idx="246">
                  <c:v>-3.48324866005748</c:v>
                </c:pt>
                <c:pt idx="247">
                  <c:v>-3.65127097052155</c:v>
                </c:pt>
                <c:pt idx="248">
                  <c:v>-3.81789115189617</c:v>
                </c:pt>
                <c:pt idx="249">
                  <c:v>-3.98306949436858</c:v>
                </c:pt>
                <c:pt idx="250">
                  <c:v>-4.14676565295446</c:v>
                </c:pt>
                <c:pt idx="251">
                  <c:v>-4.30893872319769</c:v>
                </c:pt>
                <c:pt idx="252">
                  <c:v>-4.46954732364015</c:v>
                </c:pt>
                <c:pt idx="253">
                  <c:v>-4.62854968526668</c:v>
                </c:pt>
                <c:pt idx="254">
                  <c:v>-4.78590374810173</c:v>
                </c:pt>
                <c:pt idx="255">
                  <c:v>-4.94156726509357</c:v>
                </c:pt>
                <c:pt idx="256">
                  <c:v>-5.09549791338702</c:v>
                </c:pt>
                <c:pt idx="257">
                  <c:v>-5.24765341303342</c:v>
                </c:pt>
                <c:pt idx="258">
                  <c:v>-5.39799165314067</c:v>
                </c:pt>
                <c:pt idx="259">
                  <c:v>-5.54647082540695</c:v>
                </c:pt>
                <c:pt idx="260">
                  <c:v>-5.69304956492256</c:v>
                </c:pt>
                <c:pt idx="261">
                  <c:v>-5.83768709805844</c:v>
                </c:pt>
                <c:pt idx="262">
                  <c:v>-5.98034339718978</c:v>
                </c:pt>
                <c:pt idx="263">
                  <c:v>-6.12097934193179</c:v>
                </c:pt>
                <c:pt idx="264">
                  <c:v>-6.2595568864851</c:v>
                </c:pt>
                <c:pt idx="265">
                  <c:v>-6.39603923261186</c:v>
                </c:pt>
                <c:pt idx="266">
                  <c:v>-6.53039100768057</c:v>
                </c:pt>
                <c:pt idx="267">
                  <c:v>-6.66257844713742</c:v>
                </c:pt>
                <c:pt idx="268">
                  <c:v>-6.79256958067733</c:v>
                </c:pt>
                <c:pt idx="269">
                  <c:v>-6.92033442130947</c:v>
                </c:pt>
                <c:pt idx="270">
                  <c:v>-7.04584515642996</c:v>
                </c:pt>
                <c:pt idx="271">
                  <c:v>-7.1690763399417</c:v>
                </c:pt>
                <c:pt idx="272">
                  <c:v>-7.29000508438611</c:v>
                </c:pt>
                <c:pt idx="273">
                  <c:v>-7.40861125198874</c:v>
                </c:pt>
                <c:pt idx="274">
                  <c:v>-7.52487764345909</c:v>
                </c:pt>
                <c:pt idx="275">
                  <c:v>-7.63879018333527</c:v>
                </c:pt>
                <c:pt idx="276">
                  <c:v>-7.75033810062191</c:v>
                </c:pt>
                <c:pt idx="277">
                  <c:v>-7.85951410343652</c:v>
                </c:pt>
                <c:pt idx="278">
                  <c:v>-7.96631454636282</c:v>
                </c:pt>
                <c:pt idx="279">
                  <c:v>-8.07073958919517</c:v>
                </c:pt>
                <c:pt idx="280">
                  <c:v>-8.1727933457704</c:v>
                </c:pt>
                <c:pt idx="281">
                  <c:v>-8.2724840215945</c:v>
                </c:pt>
                <c:pt idx="282">
                  <c:v>-8.36982403900904</c:v>
                </c:pt>
                <c:pt idx="283">
                  <c:v>-8.46483014868555</c:v>
                </c:pt>
                <c:pt idx="284">
                  <c:v>-8.55752352629793</c:v>
                </c:pt>
                <c:pt idx="285">
                  <c:v>-8.64792985329762</c:v>
                </c:pt>
                <c:pt idx="286">
                  <c:v>-8.73607938080359</c:v>
                </c:pt>
                <c:pt idx="287">
                  <c:v>-8.82200697572244</c:v>
                </c:pt>
                <c:pt idx="288">
                  <c:v>-8.90575214832588</c:v>
                </c:pt>
                <c:pt idx="289">
                  <c:v>-8.98735906063805</c:v>
                </c:pt>
                <c:pt idx="290">
                  <c:v>-9.06687651512075</c:v>
                </c:pt>
                <c:pt idx="291">
                  <c:v>-9.14435792328607</c:v>
                </c:pt>
                <c:pt idx="292">
                  <c:v>-9.21986125401909</c:v>
                </c:pt>
                <c:pt idx="293">
                  <c:v>-9.29344896154433</c:v>
                </c:pt>
                <c:pt idx="294">
                  <c:v>-9.36518789313132</c:v>
                </c:pt>
                <c:pt idx="295">
                  <c:v>-9.43514917679547</c:v>
                </c:pt>
                <c:pt idx="296">
                  <c:v>-9.50340808940343</c:v>
                </c:pt>
                <c:pt idx="297">
                  <c:v>-9.57004390575703</c:v>
                </c:pt>
                <c:pt idx="298">
                  <c:v>-9.63513972937274</c:v>
                </c:pt>
                <c:pt idx="299">
                  <c:v>-9.69878230582342</c:v>
                </c:pt>
                <c:pt idx="300">
                  <c:v>-9.761061819644</c:v>
                </c:pt>
                <c:pt idx="301">
                  <c:v>-9.82207167592293</c:v>
                </c:pt>
                <c:pt idx="302">
                  <c:v>-9.88190826781965</c:v>
                </c:pt>
                <c:pt idx="303">
                  <c:v>-9.94067073134363</c:v>
                </c:pt>
                <c:pt idx="304">
                  <c:v>-9.9984606888121</c:v>
                </c:pt>
                <c:pt idx="305">
                  <c:v>-10.0553819824763</c:v>
                </c:pt>
                <c:pt idx="306">
                  <c:v>-10.1115403998489</c:v>
                </c:pt>
                <c:pt idx="307">
                  <c:v>-10.1670433923062</c:v>
                </c:pt>
                <c:pt idx="308">
                  <c:v>-10.2219997885494</c:v>
                </c:pt>
                <c:pt idx="309">
                  <c:v>-10.2765195045098</c:v>
                </c:pt>
                <c:pt idx="310">
                  <c:v>-10.3307132512636</c:v>
                </c:pt>
                <c:pt idx="311">
                  <c:v>-10.3846922424937</c:v>
                </c:pt>
                <c:pt idx="312">
                  <c:v>-10.4385679029828</c:v>
                </c:pt>
                <c:pt idx="313">
                  <c:v>-10.4924515795607</c:v>
                </c:pt>
                <c:pt idx="314">
                  <c:v>-10.5464542558643</c:v>
                </c:pt>
                <c:pt idx="315">
                  <c:v>-10.6006862721768</c:v>
                </c:pt>
                <c:pt idx="316">
                  <c:v>-10.6552570515306</c:v>
                </c:pt>
                <c:pt idx="317">
                  <c:v>-10.7102748331611</c:v>
                </c:pt>
                <c:pt idx="318">
                  <c:v>-10.7658464142939</c:v>
                </c:pt>
                <c:pt idx="319">
                  <c:v>-10.8220769011587</c:v>
                </c:pt>
                <c:pt idx="320">
                  <c:v>-10.8790694700106</c:v>
                </c:pt>
                <c:pt idx="321">
                  <c:v>-10.9369251388487</c:v>
                </c:pt>
                <c:pt idx="322">
                  <c:v>-10.9957425504212</c:v>
                </c:pt>
                <c:pt idx="323">
                  <c:v>-11.0556177670205</c:v>
                </c:pt>
                <c:pt idx="324">
                  <c:v>-11.116644077482</c:v>
                </c:pt>
                <c:pt idx="325">
                  <c:v>-11.1789118167252</c:v>
                </c:pt>
                <c:pt idx="326">
                  <c:v>-11.2425081981031</c:v>
                </c:pt>
                <c:pt idx="327">
                  <c:v>-11.3075171587619</c:v>
                </c:pt>
                <c:pt idx="328">
                  <c:v>-11.3740192181571</c:v>
                </c:pt>
                <c:pt idx="329">
                  <c:v>-11.442091349822</c:v>
                </c:pt>
                <c:pt idx="330">
                  <c:v>-11.5118068664401</c:v>
                </c:pt>
                <c:pt idx="331">
                  <c:v>-11.5832353182364</c:v>
                </c:pt>
                <c:pt idx="332">
                  <c:v>-11.6564424046731</c:v>
                </c:pt>
                <c:pt idx="333">
                  <c:v>-11.7314898993969</c:v>
                </c:pt>
                <c:pt idx="334">
                  <c:v>-11.8084355883706</c:v>
                </c:pt>
                <c:pt idx="335">
                  <c:v>-11.8873332210885</c:v>
                </c:pt>
                <c:pt idx="336">
                  <c:v>-11.9682324747559</c:v>
                </c:pt>
                <c:pt idx="337">
                  <c:v>-12.0511789312869</c:v>
                </c:pt>
                <c:pt idx="338">
                  <c:v>-12.1362140669516</c:v>
                </c:pt>
                <c:pt idx="339">
                  <c:v>-12.2233752544756</c:v>
                </c:pt>
                <c:pt idx="340">
                  <c:v>-12.3126957773659</c:v>
                </c:pt>
                <c:pt idx="341">
                  <c:v>-12.4042048562057</c:v>
                </c:pt>
                <c:pt idx="342">
                  <c:v>-12.497927686628</c:v>
                </c:pt>
                <c:pt idx="343">
                  <c:v>-12.5938854886379</c:v>
                </c:pt>
                <c:pt idx="344">
                  <c:v>-12.6920955669159</c:v>
                </c:pt>
                <c:pt idx="345">
                  <c:v>-12.7925713816939</c:v>
                </c:pt>
                <c:pt idx="346">
                  <c:v>-12.8953226297509</c:v>
                </c:pt>
                <c:pt idx="347">
                  <c:v>-13.0003553350327</c:v>
                </c:pt>
                <c:pt idx="348">
                  <c:v>-13.1076719483591</c:v>
                </c:pt>
                <c:pt idx="349">
                  <c:v>-13.217271455634</c:v>
                </c:pt>
                <c:pt idx="350">
                  <c:v>-13.3291494939416</c:v>
                </c:pt>
                <c:pt idx="351">
                  <c:v>-13.4432984748658</c:v>
                </c:pt>
                <c:pt idx="352">
                  <c:v>-13.5597077143449</c:v>
                </c:pt>
                <c:pt idx="353">
                  <c:v>-13.6783635683357</c:v>
                </c:pt>
                <c:pt idx="354">
                  <c:v>-13.7992495735461</c:v>
                </c:pt>
                <c:pt idx="355">
                  <c:v>-13.9223465924675</c:v>
                </c:pt>
                <c:pt idx="356">
                  <c:v>-14.0476329619369</c:v>
                </c:pt>
                <c:pt idx="357">
                  <c:v>-14.1750846444444</c:v>
                </c:pt>
                <c:pt idx="358">
                  <c:v>-14.3046753814075</c:v>
                </c:pt>
                <c:pt idx="359">
                  <c:v>-14.4363768476434</c:v>
                </c:pt>
                <c:pt idx="360">
                  <c:v>-14.570158806281</c:v>
                </c:pt>
                <c:pt idx="361">
                  <c:v>-14.7059892633801</c:v>
                </c:pt>
                <c:pt idx="362">
                  <c:v>-14.8438346215504</c:v>
                </c:pt>
                <c:pt idx="363">
                  <c:v>-14.9836598318966</c:v>
                </c:pt>
                <c:pt idx="364">
                  <c:v>-15.1254285436545</c:v>
                </c:pt>
                <c:pt idx="365">
                  <c:v>-15.2691032509238</c:v>
                </c:pt>
                <c:pt idx="366">
                  <c:v>-15.4146454359519</c:v>
                </c:pt>
                <c:pt idx="367">
                  <c:v>-15.5620157084691</c:v>
                </c:pt>
                <c:pt idx="368">
                  <c:v>-15.7111739406284</c:v>
                </c:pt>
                <c:pt idx="369">
                  <c:v>-15.8620793971541</c:v>
                </c:pt>
                <c:pt idx="370">
                  <c:v>-16.0146908603604</c:v>
                </c:pt>
                <c:pt idx="371">
                  <c:v>-16.1689667497461</c:v>
                </c:pt>
                <c:pt idx="372">
                  <c:v>-16.3248652359339</c:v>
                </c:pt>
                <c:pt idx="373">
                  <c:v>-16.4823443487664</c:v>
                </c:pt>
                <c:pt idx="374">
                  <c:v>-16.6413620794244</c:v>
                </c:pt>
                <c:pt idx="375">
                  <c:v>-16.8018764764767</c:v>
                </c:pt>
                <c:pt idx="376">
                  <c:v>-16.963845735821</c:v>
                </c:pt>
                <c:pt idx="377">
                  <c:v>-17.1272282845095</c:v>
                </c:pt>
                <c:pt idx="378">
                  <c:v>-17.2919828584987</c:v>
                </c:pt>
                <c:pt idx="379">
                  <c:v>-17.458068574393</c:v>
                </c:pt>
                <c:pt idx="380">
                  <c:v>-17.625444995286</c:v>
                </c:pt>
                <c:pt idx="381">
                  <c:v>-17.794072190831</c:v>
                </c:pt>
                <c:pt idx="382">
                  <c:v>-17.9639107916979</c:v>
                </c:pt>
                <c:pt idx="383">
                  <c:v>-18.1349220385924</c:v>
                </c:pt>
                <c:pt idx="384">
                  <c:v>-18.3070678260374</c:v>
                </c:pt>
                <c:pt idx="385">
                  <c:v>-18.4803107411238</c:v>
                </c:pt>
                <c:pt idx="386">
                  <c:v>-18.6546140974568</c:v>
                </c:pt>
                <c:pt idx="387">
                  <c:v>-18.8299419645297</c:v>
                </c:pt>
                <c:pt idx="388">
                  <c:v>-19.006259192761</c:v>
                </c:pt>
                <c:pt idx="389">
                  <c:v>-19.1835314344437</c:v>
                </c:pt>
                <c:pt idx="390">
                  <c:v>-19.3617251608455</c:v>
                </c:pt>
                <c:pt idx="391">
                  <c:v>-19.5408076757088</c:v>
                </c:pt>
                <c:pt idx="392">
                  <c:v>-19.7207471253905</c:v>
                </c:pt>
                <c:pt idx="393">
                  <c:v>-19.9015125058835</c:v>
                </c:pt>
                <c:pt idx="394">
                  <c:v>-20.0830736669517</c:v>
                </c:pt>
                <c:pt idx="395">
                  <c:v>-20.2654013136094</c:v>
                </c:pt>
                <c:pt idx="396">
                  <c:v>-20.4484670051639</c:v>
                </c:pt>
                <c:pt idx="397">
                  <c:v>-20.6322431520371</c:v>
                </c:pt>
                <c:pt idx="398">
                  <c:v>-20.8167030105705</c:v>
                </c:pt>
                <c:pt idx="399">
                  <c:v>-21.0018206760088</c:v>
                </c:pt>
                <c:pt idx="400">
                  <c:v>-21.187571073851</c:v>
                </c:pt>
                <c:pt idx="401">
                  <c:v>-21.3739299497446</c:v>
                </c:pt>
                <c:pt idx="402">
                  <c:v>-21.5608738580904</c:v>
                </c:pt>
                <c:pt idx="403">
                  <c:v>-21.7483801495187</c:v>
                </c:pt>
                <c:pt idx="404">
                  <c:v>-21.9364269573812</c:v>
                </c:pt>
                <c:pt idx="405">
                  <c:v>-22.1249931834</c:v>
                </c:pt>
                <c:pt idx="406">
                  <c:v>-22.3140584826032</c:v>
                </c:pt>
                <c:pt idx="407">
                  <c:v>-22.5036032476654</c:v>
                </c:pt>
                <c:pt idx="408">
                  <c:v>-22.6936085927659</c:v>
                </c:pt>
                <c:pt idx="409">
                  <c:v>-22.8840563370692</c:v>
                </c:pt>
                <c:pt idx="410">
                  <c:v>-23.074928987919</c:v>
                </c:pt>
                <c:pt idx="411">
                  <c:v>-23.2662097238349</c:v>
                </c:pt>
                <c:pt idx="412">
                  <c:v>-23.4578823773925</c:v>
                </c:pt>
                <c:pt idx="413">
                  <c:v>-23.649931418056</c:v>
                </c:pt>
                <c:pt idx="414">
                  <c:v>-23.8423419350321</c:v>
                </c:pt>
                <c:pt idx="415">
                  <c:v>-24.0350996202038</c:v>
                </c:pt>
                <c:pt idx="416">
                  <c:v>-24.2281907511973</c:v>
                </c:pt>
                <c:pt idx="417">
                  <c:v>-24.4216021746315</c:v>
                </c:pt>
                <c:pt idx="418">
                  <c:v>-24.6153212895906</c:v>
                </c:pt>
                <c:pt idx="419">
                  <c:v>-24.8093360313622</c:v>
                </c:pt>
                <c:pt idx="420">
                  <c:v>-25.0036348554704</c:v>
                </c:pt>
                <c:pt idx="421">
                  <c:v>-25.1982067220367</c:v>
                </c:pt>
                <c:pt idx="422">
                  <c:v>-25.3930410804941</c:v>
                </c:pt>
                <c:pt idx="423">
                  <c:v>-25.5881278546753</c:v>
                </c:pt>
                <c:pt idx="424">
                  <c:v>-25.7834574282979</c:v>
                </c:pt>
                <c:pt idx="425">
                  <c:v>-25.9790206308595</c:v>
                </c:pt>
                <c:pt idx="426">
                  <c:v>-26.1748087239596</c:v>
                </c:pt>
                <c:pt idx="427">
                  <c:v>-26.3708133880581</c:v>
                </c:pt>
                <c:pt idx="428">
                  <c:v>-26.5670267096807</c:v>
                </c:pt>
                <c:pt idx="429">
                  <c:v>-26.7634411690792</c:v>
                </c:pt>
                <c:pt idx="430">
                  <c:v>-26.9600496283514</c:v>
                </c:pt>
                <c:pt idx="431">
                  <c:v>-27.1568453200254</c:v>
                </c:pt>
                <c:pt idx="432">
                  <c:v>-27.3538218361137</c:v>
                </c:pt>
                <c:pt idx="433">
                  <c:v>-27.5509731176341</c:v>
                </c:pt>
                <c:pt idx="434">
                  <c:v>-27.7482934446037</c:v>
                </c:pt>
                <c:pt idx="435">
                  <c:v>-27.9457774265013</c:v>
                </c:pt>
                <c:pt idx="436">
                  <c:v>-28.1434199932011</c:v>
                </c:pt>
                <c:pt idx="437">
                  <c:v>-28.3412163863742</c:v>
                </c:pt>
                <c:pt idx="438">
                  <c:v>-28.5391621513565</c:v>
                </c:pt>
                <c:pt idx="439">
                  <c:v>-28.7372531294812</c:v>
                </c:pt>
                <c:pt idx="440">
                  <c:v>-28.9354854508722</c:v>
                </c:pt>
                <c:pt idx="441">
                  <c:v>-29.1338555276968</c:v>
                </c:pt>
                <c:pt idx="442">
                  <c:v>-29.3323600478737</c:v>
                </c:pt>
                <c:pt idx="443">
                  <c:v>-29.5309959692339</c:v>
                </c:pt>
                <c:pt idx="444">
                  <c:v>-29.7297605141296</c:v>
                </c:pt>
                <c:pt idx="445">
                  <c:v>-29.9286511644913</c:v>
                </c:pt>
                <c:pt idx="446">
                  <c:v>-30.1276656573259</c:v>
                </c:pt>
                <c:pt idx="447">
                  <c:v>-30.3268019806562</c:v>
                </c:pt>
                <c:pt idx="448">
                  <c:v>-30.5260583698976</c:v>
                </c:pt>
                <c:pt idx="449">
                  <c:v>-30.7254333046686</c:v>
                </c:pt>
                <c:pt idx="450">
                  <c:v>-30.9249255060344</c:v>
                </c:pt>
                <c:pt idx="451">
                  <c:v>-31.1245339341806</c:v>
                </c:pt>
                <c:pt idx="452">
                  <c:v>-31.3242577865141</c:v>
                </c:pt>
                <c:pt idx="453">
                  <c:v>-31.524096496192</c:v>
                </c:pt>
                <c:pt idx="454">
                  <c:v>-31.7240497310753</c:v>
                </c:pt>
                <c:pt idx="455">
                  <c:v>-31.9241173931068</c:v>
                </c:pt>
                <c:pt idx="456">
                  <c:v>-32.1242996181128</c:v>
                </c:pt>
                <c:pt idx="457">
                  <c:v>-32.3245967760283</c:v>
                </c:pt>
                <c:pt idx="458">
                  <c:v>-32.5250094715455</c:v>
                </c:pt>
                <c:pt idx="459">
                  <c:v>-32.7255385451858</c:v>
                </c:pt>
                <c:pt idx="460">
                  <c:v>-32.9261850747972</c:v>
                </c:pt>
                <c:pt idx="461">
                  <c:v>-33.1269503774745</c:v>
                </c:pt>
                <c:pt idx="462">
                  <c:v>-33.3278360119084</c:v>
                </c:pt>
                <c:pt idx="463">
                  <c:v>-33.528843781162</c:v>
                </c:pt>
                <c:pt idx="464">
                  <c:v>-33.7299757358745</c:v>
                </c:pt>
                <c:pt idx="465">
                  <c:v>-33.9312341779011</c:v>
                </c:pt>
                <c:pt idx="466">
                  <c:v>-34.1326216643816</c:v>
                </c:pt>
                <c:pt idx="467">
                  <c:v>-34.3341410122488</c:v>
                </c:pt>
                <c:pt idx="468">
                  <c:v>-34.5357953031732</c:v>
                </c:pt>
                <c:pt idx="469">
                  <c:v>-34.7375878889501</c:v>
                </c:pt>
                <c:pt idx="470">
                  <c:v>-34.9395223973287</c:v>
                </c:pt>
                <c:pt idx="471">
                  <c:v>-35.1416027382887</c:v>
                </c:pt>
                <c:pt idx="472">
                  <c:v>-35.343833110764</c:v>
                </c:pt>
                <c:pt idx="473">
                  <c:v>-35.5462180098176</c:v>
                </c:pt>
                <c:pt idx="474">
                  <c:v>-35.7487622342703</c:v>
                </c:pt>
                <c:pt idx="475">
                  <c:v>-35.9514708947812</c:v>
                </c:pt>
                <c:pt idx="476">
                  <c:v>-36.1543494223865</c:v>
                </c:pt>
                <c:pt idx="477">
                  <c:v>-36.3574035774939</c:v>
                </c:pt>
                <c:pt idx="478">
                  <c:v>-36.5606394593328</c:v>
                </c:pt>
                <c:pt idx="479">
                  <c:v>-36.7640635158632</c:v>
                </c:pt>
                <c:pt idx="480">
                  <c:v>-36.9676825541368</c:v>
                </c:pt>
                <c:pt idx="481">
                  <c:v>-37.1715037511127</c:v>
                </c:pt>
                <c:pt idx="482">
                  <c:v>-37.3755346649221</c:v>
                </c:pt>
                <c:pt idx="483">
                  <c:v>-37.5797832465761</c:v>
                </c:pt>
                <c:pt idx="484">
                  <c:v>-37.7842578521141</c:v>
                </c:pt>
                <c:pt idx="485">
                  <c:v>-37.9889672551808</c:v>
                </c:pt>
                <c:pt idx="486">
                  <c:v>-38.1939206600251</c:v>
                </c:pt>
                <c:pt idx="487">
                  <c:v>-38.3991277149088</c:v>
                </c:pt>
                <c:pt idx="488">
                  <c:v>-38.6045985259095</c:v>
                </c:pt>
                <c:pt idx="489">
                  <c:v>-38.8103436711037</c:v>
                </c:pt>
                <c:pt idx="490">
                  <c:v>-39.0163742151091</c:v>
                </c:pt>
                <c:pt idx="491">
                  <c:v>-39.2227017239655</c:v>
                </c:pt>
                <c:pt idx="492">
                  <c:v>-39.4293382803278</c:v>
                </c:pt>
                <c:pt idx="493">
                  <c:v>-39.6362964989427</c:v>
                </c:pt>
                <c:pt idx="494">
                  <c:v>-39.8435895423762</c:v>
                </c:pt>
                <c:pt idx="495">
                  <c:v>-40.0512311369551</c:v>
                </c:pt>
                <c:pt idx="496">
                  <c:v>-40.2592355888818</c:v>
                </c:pt>
                <c:pt idx="497">
                  <c:v>-40.4676178004737</c:v>
                </c:pt>
                <c:pt idx="498">
                  <c:v>-40.6763932864795</c:v>
                </c:pt>
                <c:pt idx="499">
                  <c:v>-40.885578190412</c:v>
                </c:pt>
                <c:pt idx="500">
                  <c:v>-41.0951893008381</c:v>
                </c:pt>
                <c:pt idx="501">
                  <c:v>-41.3052440675531</c:v>
                </c:pt>
                <c:pt idx="502">
                  <c:v>-41.5157606175685</c:v>
                </c:pt>
                <c:pt idx="503">
                  <c:v>-41.7267577708271</c:v>
                </c:pt>
                <c:pt idx="504">
                  <c:v>-41.9382550555582</c:v>
                </c:pt>
                <c:pt idx="505">
                  <c:v>-42.1502727231763</c:v>
                </c:pt>
                <c:pt idx="506">
                  <c:v>-42.3628317626159</c:v>
                </c:pt>
                <c:pt idx="507">
                  <c:v>-42.5759539139949</c:v>
                </c:pt>
                <c:pt idx="508">
                  <c:v>-42.7896616814797</c:v>
                </c:pt>
                <c:pt idx="509">
                  <c:v>-43.0039783452301</c:v>
                </c:pt>
                <c:pt idx="510">
                  <c:v>-43.2189279722787</c:v>
                </c:pt>
                <c:pt idx="511">
                  <c:v>-43.4345354262062</c:v>
                </c:pt>
                <c:pt idx="512">
                  <c:v>-43.6508263754555</c:v>
                </c:pt>
                <c:pt idx="513">
                  <c:v>-43.8678273001203</c:v>
                </c:pt>
                <c:pt idx="514">
                  <c:v>-44.085565497042</c:v>
                </c:pt>
                <c:pt idx="515">
                  <c:v>-44.3040690830347</c:v>
                </c:pt>
                <c:pt idx="516">
                  <c:v>-44.5233669960539</c:v>
                </c:pt>
                <c:pt idx="517">
                  <c:v>-44.7434889941191</c:v>
                </c:pt>
                <c:pt idx="518">
                  <c:v>-44.9644656517904</c:v>
                </c:pt>
                <c:pt idx="519">
                  <c:v>-45.186328354002</c:v>
                </c:pt>
                <c:pt idx="520">
                  <c:v>-45.4091092870446</c:v>
                </c:pt>
                <c:pt idx="521">
                  <c:v>-45.6328414264909</c:v>
                </c:pt>
                <c:pt idx="522">
                  <c:v>-45.8575585218567</c:v>
                </c:pt>
                <c:pt idx="523">
                  <c:v>-46.0832950777911</c:v>
                </c:pt>
                <c:pt idx="524">
                  <c:v>-46.310086331593</c:v>
                </c:pt>
                <c:pt idx="525">
                  <c:v>-46.5379682268556</c:v>
                </c:pt>
                <c:pt idx="526">
                  <c:v>-46.7669773830488</c:v>
                </c:pt>
                <c:pt idx="527">
                  <c:v>-46.99715106086</c:v>
                </c:pt>
                <c:pt idx="528">
                  <c:v>-47.2285271231254</c:v>
                </c:pt>
                <c:pt idx="529">
                  <c:v>-47.4611439912036</c:v>
                </c:pt>
                <c:pt idx="530">
                  <c:v>-47.6950405966564</c:v>
                </c:pt>
                <c:pt idx="531">
                  <c:v>-47.93025632813</c:v>
                </c:pt>
                <c:pt idx="532">
                  <c:v>-48.1668309733549</c:v>
                </c:pt>
                <c:pt idx="533">
                  <c:v>-48.4048046562054</c:v>
                </c:pt>
                <c:pt idx="534">
                  <c:v>-48.644217768803</c:v>
                </c:pt>
                <c:pt idx="535">
                  <c:v>-48.8851108986751</c:v>
                </c:pt>
                <c:pt idx="536">
                  <c:v>-49.1275247510231</c:v>
                </c:pt>
                <c:pt idx="537">
                  <c:v>-49.3715000661981</c:v>
                </c:pt>
                <c:pt idx="538">
                  <c:v>-49.617077532525</c:v>
                </c:pt>
                <c:pt idx="539">
                  <c:v>-49.8642976946638</c:v>
                </c:pt>
                <c:pt idx="540">
                  <c:v>-50.1132008577477</c:v>
                </c:pt>
                <c:pt idx="541">
                  <c:v>-50.3638269875915</c:v>
                </c:pt>
              </c:numCache>
            </c:numRef>
          </c:yVal>
          <c:smooth val="1"/>
        </c:ser>
        <c:dLbls>
          <c:showLegendKey val="0"/>
          <c:showVal val="0"/>
          <c:showCatName val="0"/>
          <c:showSerName val="0"/>
          <c:showPercent val="0"/>
          <c:showBubbleSize val="0"/>
        </c:dLbls>
        <c:axId val="178953600"/>
        <c:axId val="178959872"/>
      </c:scatterChart>
      <c:scatterChart>
        <c:scatterStyle val="smooth"/>
        <c:varyColors val="0"/>
        <c:ser>
          <c:idx val="1"/>
          <c:order val="1"/>
          <c:spPr>
            <a:ln w="38100" cap="rnd" cmpd="sng" algn="ctr">
              <a:solidFill>
                <a:schemeClr val="tx1">
                  <a:lumMod val="95000"/>
                  <a:lumOff val="5000"/>
                </a:schemeClr>
              </a:solidFill>
              <a:prstDash val="sysDash"/>
              <a:round/>
            </a:ln>
          </c:spPr>
          <c:marker>
            <c:symbol val="none"/>
          </c:marker>
          <c:dLbls>
            <c:delete val="1"/>
          </c:dLbls>
          <c:xVal>
            <c:numRef>
              <c:f>Loop_Modeling!$O$19:$O$560</c:f>
              <c:numCache>
                <c:formatCode>0.00</c:formatCode>
                <c:ptCount val="542"/>
                <c:pt idx="0">
                  <c:v>10.2329299228075</c:v>
                </c:pt>
                <c:pt idx="1">
                  <c:v>10.471285480509</c:v>
                </c:pt>
                <c:pt idx="2">
                  <c:v>10.7151930523761</c:v>
                </c:pt>
                <c:pt idx="3">
                  <c:v>10.9647819614319</c:v>
                </c:pt>
                <c:pt idx="4">
                  <c:v>11.2201845430196</c:v>
                </c:pt>
                <c:pt idx="5">
                  <c:v>11.4815362149688</c:v>
                </c:pt>
                <c:pt idx="6">
                  <c:v>11.7489755493953</c:v>
                </c:pt>
                <c:pt idx="7">
                  <c:v>12.0226443461741</c:v>
                </c:pt>
                <c:pt idx="8">
                  <c:v>12.3026877081238</c:v>
                </c:pt>
                <c:pt idx="9">
                  <c:v>12.5892541179417</c:v>
                </c:pt>
                <c:pt idx="10">
                  <c:v>12.8824955169313</c:v>
                </c:pt>
                <c:pt idx="11">
                  <c:v>13.1825673855641</c:v>
                </c:pt>
                <c:pt idx="12">
                  <c:v>13.4896288259165</c:v>
                </c:pt>
                <c:pt idx="13">
                  <c:v>13.8038426460289</c:v>
                </c:pt>
                <c:pt idx="14">
                  <c:v>14.1253754462275</c:v>
                </c:pt>
                <c:pt idx="15">
                  <c:v>14.4543977074593</c:v>
                </c:pt>
                <c:pt idx="16">
                  <c:v>14.7910838816821</c:v>
                </c:pt>
                <c:pt idx="17">
                  <c:v>15.1356124843621</c:v>
                </c:pt>
                <c:pt idx="18">
                  <c:v>15.4881661891248</c:v>
                </c:pt>
                <c:pt idx="19">
                  <c:v>15.8489319246111</c:v>
                </c:pt>
                <c:pt idx="20">
                  <c:v>16.2181009735893</c:v>
                </c:pt>
                <c:pt idx="21">
                  <c:v>16.5958690743756</c:v>
                </c:pt>
                <c:pt idx="22">
                  <c:v>16.9824365246174</c:v>
                </c:pt>
                <c:pt idx="23">
                  <c:v>17.3780082874938</c:v>
                </c:pt>
                <c:pt idx="24">
                  <c:v>17.7827941003892</c:v>
                </c:pt>
                <c:pt idx="25">
                  <c:v>18.1970085860998</c:v>
                </c:pt>
                <c:pt idx="26">
                  <c:v>18.6208713666287</c:v>
                </c:pt>
                <c:pt idx="27">
                  <c:v>19.0546071796325</c:v>
                </c:pt>
                <c:pt idx="28">
                  <c:v>19.4984459975805</c:v>
                </c:pt>
                <c:pt idx="29">
                  <c:v>19.9526231496888</c:v>
                </c:pt>
                <c:pt idx="30">
                  <c:v>20.4173794466953</c:v>
                </c:pt>
                <c:pt idx="31">
                  <c:v>20.8929613085404</c:v>
                </c:pt>
                <c:pt idx="32">
                  <c:v>21.3796208950223</c:v>
                </c:pt>
                <c:pt idx="33">
                  <c:v>21.8776162394955</c:v>
                </c:pt>
                <c:pt idx="34">
                  <c:v>22.3872113856834</c:v>
                </c:pt>
                <c:pt idx="35">
                  <c:v>22.9086765276777</c:v>
                </c:pt>
                <c:pt idx="36">
                  <c:v>23.4422881531992</c:v>
                </c:pt>
                <c:pt idx="37">
                  <c:v>23.9883291901949</c:v>
                </c:pt>
                <c:pt idx="38">
                  <c:v>24.5470891568503</c:v>
                </c:pt>
                <c:pt idx="39">
                  <c:v>25.1188643150958</c:v>
                </c:pt>
                <c:pt idx="40">
                  <c:v>25.7039578276886</c:v>
                </c:pt>
                <c:pt idx="41">
                  <c:v>26.3026799189538</c:v>
                </c:pt>
                <c:pt idx="42">
                  <c:v>26.9153480392692</c:v>
                </c:pt>
                <c:pt idx="43">
                  <c:v>27.5422870333817</c:v>
                </c:pt>
                <c:pt idx="44">
                  <c:v>28.1838293126445</c:v>
                </c:pt>
                <c:pt idx="45">
                  <c:v>28.8403150312661</c:v>
                </c:pt>
                <c:pt idx="46">
                  <c:v>29.5120922666639</c:v>
                </c:pt>
                <c:pt idx="47">
                  <c:v>30.1995172040202</c:v>
                </c:pt>
                <c:pt idx="48">
                  <c:v>30.9029543251359</c:v>
                </c:pt>
                <c:pt idx="49">
                  <c:v>31.6227766016838</c:v>
                </c:pt>
                <c:pt idx="50">
                  <c:v>32.3593656929628</c:v>
                </c:pt>
                <c:pt idx="51">
                  <c:v>33.1131121482591</c:v>
                </c:pt>
                <c:pt idx="52">
                  <c:v>33.8844156139203</c:v>
                </c:pt>
                <c:pt idx="53">
                  <c:v>34.6736850452532</c:v>
                </c:pt>
                <c:pt idx="54">
                  <c:v>35.4813389233576</c:v>
                </c:pt>
                <c:pt idx="55">
                  <c:v>36.3078054770102</c:v>
                </c:pt>
                <c:pt idx="56">
                  <c:v>37.1535229097173</c:v>
                </c:pt>
                <c:pt idx="57">
                  <c:v>38.0189396320561</c:v>
                </c:pt>
                <c:pt idx="58">
                  <c:v>38.9045144994281</c:v>
                </c:pt>
                <c:pt idx="59">
                  <c:v>39.8107170553498</c:v>
                </c:pt>
                <c:pt idx="60">
                  <c:v>40.7380277804113</c:v>
                </c:pt>
                <c:pt idx="61">
                  <c:v>41.6869383470336</c:v>
                </c:pt>
                <c:pt idx="62">
                  <c:v>42.6579518801593</c:v>
                </c:pt>
                <c:pt idx="63">
                  <c:v>43.6515832240166</c:v>
                </c:pt>
                <c:pt idx="64">
                  <c:v>44.6683592150963</c:v>
                </c:pt>
                <c:pt idx="65">
                  <c:v>45.7088189614875</c:v>
                </c:pt>
                <c:pt idx="66">
                  <c:v>46.7735141287198</c:v>
                </c:pt>
                <c:pt idx="67">
                  <c:v>47.8630092322639</c:v>
                </c:pt>
                <c:pt idx="68">
                  <c:v>48.9778819368446</c:v>
                </c:pt>
                <c:pt idx="69">
                  <c:v>50.1187233627272</c:v>
                </c:pt>
                <c:pt idx="70">
                  <c:v>51.2861383991365</c:v>
                </c:pt>
                <c:pt idx="71">
                  <c:v>52.4807460249773</c:v>
                </c:pt>
                <c:pt idx="72">
                  <c:v>53.7031796370253</c:v>
                </c:pt>
                <c:pt idx="73">
                  <c:v>54.9540873857625</c:v>
                </c:pt>
                <c:pt idx="74">
                  <c:v>56.2341325190349</c:v>
                </c:pt>
                <c:pt idx="75">
                  <c:v>57.5439937337157</c:v>
                </c:pt>
                <c:pt idx="76">
                  <c:v>58.8843655355589</c:v>
                </c:pt>
                <c:pt idx="77">
                  <c:v>60.2559586074358</c:v>
                </c:pt>
                <c:pt idx="78">
                  <c:v>61.6595001861483</c:v>
                </c:pt>
                <c:pt idx="79">
                  <c:v>63.0957344480194</c:v>
                </c:pt>
                <c:pt idx="80">
                  <c:v>64.5654229034656</c:v>
                </c:pt>
                <c:pt idx="81">
                  <c:v>66.0693448007596</c:v>
                </c:pt>
                <c:pt idx="82">
                  <c:v>67.6082975391982</c:v>
                </c:pt>
                <c:pt idx="83">
                  <c:v>69.1830970918937</c:v>
                </c:pt>
                <c:pt idx="84">
                  <c:v>70.7945784384139</c:v>
                </c:pt>
                <c:pt idx="85">
                  <c:v>72.443596007499</c:v>
                </c:pt>
                <c:pt idx="86">
                  <c:v>74.1310241300918</c:v>
                </c:pt>
                <c:pt idx="87">
                  <c:v>75.8577575029184</c:v>
                </c:pt>
                <c:pt idx="88">
                  <c:v>77.6247116628692</c:v>
                </c:pt>
                <c:pt idx="89">
                  <c:v>79.4328234724282</c:v>
                </c:pt>
                <c:pt idx="90">
                  <c:v>81.28305161641</c:v>
                </c:pt>
                <c:pt idx="91">
                  <c:v>83.1763771102671</c:v>
                </c:pt>
                <c:pt idx="92">
                  <c:v>85.1138038202377</c:v>
                </c:pt>
                <c:pt idx="93">
                  <c:v>87.0963589956081</c:v>
                </c:pt>
                <c:pt idx="94">
                  <c:v>89.1250938133746</c:v>
                </c:pt>
                <c:pt idx="95">
                  <c:v>91.201083935591</c:v>
                </c:pt>
                <c:pt idx="96">
                  <c:v>93.3254300796992</c:v>
                </c:pt>
                <c:pt idx="97">
                  <c:v>95.4992586021437</c:v>
                </c:pt>
                <c:pt idx="98">
                  <c:v>97.7237220955811</c:v>
                </c:pt>
                <c:pt idx="99">
                  <c:v>100</c:v>
                </c:pt>
                <c:pt idx="100">
                  <c:v>102.329299228075</c:v>
                </c:pt>
                <c:pt idx="101">
                  <c:v>104.71285480509</c:v>
                </c:pt>
                <c:pt idx="102">
                  <c:v>107.151930523761</c:v>
                </c:pt>
                <c:pt idx="103">
                  <c:v>109.647819614319</c:v>
                </c:pt>
                <c:pt idx="104">
                  <c:v>112.201845430196</c:v>
                </c:pt>
                <c:pt idx="105">
                  <c:v>114.815362149688</c:v>
                </c:pt>
                <c:pt idx="106">
                  <c:v>117.489755493953</c:v>
                </c:pt>
                <c:pt idx="107">
                  <c:v>120.226443461741</c:v>
                </c:pt>
                <c:pt idx="108">
                  <c:v>123.026877081238</c:v>
                </c:pt>
                <c:pt idx="109">
                  <c:v>125.892541179417</c:v>
                </c:pt>
                <c:pt idx="110">
                  <c:v>128.824955169313</c:v>
                </c:pt>
                <c:pt idx="111">
                  <c:v>131.825673855641</c:v>
                </c:pt>
                <c:pt idx="112">
                  <c:v>134.896288259165</c:v>
                </c:pt>
                <c:pt idx="113">
                  <c:v>138.038426460289</c:v>
                </c:pt>
                <c:pt idx="114">
                  <c:v>141.253754462275</c:v>
                </c:pt>
                <c:pt idx="115">
                  <c:v>144.543977074593</c:v>
                </c:pt>
                <c:pt idx="116">
                  <c:v>147.910838816821</c:v>
                </c:pt>
                <c:pt idx="117">
                  <c:v>151.356124843621</c:v>
                </c:pt>
                <c:pt idx="118">
                  <c:v>154.881661891248</c:v>
                </c:pt>
                <c:pt idx="119">
                  <c:v>158.489319246112</c:v>
                </c:pt>
                <c:pt idx="120">
                  <c:v>162.181009735893</c:v>
                </c:pt>
                <c:pt idx="121">
                  <c:v>165.958690743756</c:v>
                </c:pt>
                <c:pt idx="122">
                  <c:v>169.824365246174</c:v>
                </c:pt>
                <c:pt idx="123">
                  <c:v>173.780082874938</c:v>
                </c:pt>
                <c:pt idx="124">
                  <c:v>177.827941003892</c:v>
                </c:pt>
                <c:pt idx="125">
                  <c:v>181.970085860998</c:v>
                </c:pt>
                <c:pt idx="126">
                  <c:v>186.208713666287</c:v>
                </c:pt>
                <c:pt idx="127">
                  <c:v>190.546071796325</c:v>
                </c:pt>
                <c:pt idx="128">
                  <c:v>194.984459975805</c:v>
                </c:pt>
                <c:pt idx="129">
                  <c:v>199.526231496888</c:v>
                </c:pt>
                <c:pt idx="130">
                  <c:v>204.173794466953</c:v>
                </c:pt>
                <c:pt idx="131">
                  <c:v>208.929613085404</c:v>
                </c:pt>
                <c:pt idx="132">
                  <c:v>213.796208950223</c:v>
                </c:pt>
                <c:pt idx="133">
                  <c:v>218.776162394955</c:v>
                </c:pt>
                <c:pt idx="134">
                  <c:v>223.872113856834</c:v>
                </c:pt>
                <c:pt idx="135">
                  <c:v>229.086765276777</c:v>
                </c:pt>
                <c:pt idx="136">
                  <c:v>234.422881531992</c:v>
                </c:pt>
                <c:pt idx="137">
                  <c:v>239.883291901949</c:v>
                </c:pt>
                <c:pt idx="138">
                  <c:v>245.470891568503</c:v>
                </c:pt>
                <c:pt idx="139">
                  <c:v>251.188643150958</c:v>
                </c:pt>
                <c:pt idx="140">
                  <c:v>257.039578276887</c:v>
                </c:pt>
                <c:pt idx="141">
                  <c:v>263.026799189538</c:v>
                </c:pt>
                <c:pt idx="142">
                  <c:v>269.153480392692</c:v>
                </c:pt>
                <c:pt idx="143">
                  <c:v>275.422870333817</c:v>
                </c:pt>
                <c:pt idx="144">
                  <c:v>281.838293126446</c:v>
                </c:pt>
                <c:pt idx="145">
                  <c:v>288.403150312661</c:v>
                </c:pt>
                <c:pt idx="146">
                  <c:v>295.120922666639</c:v>
                </c:pt>
                <c:pt idx="147">
                  <c:v>301.995172040202</c:v>
                </c:pt>
                <c:pt idx="148">
                  <c:v>309.029543251359</c:v>
                </c:pt>
                <c:pt idx="149">
                  <c:v>316.227766016838</c:v>
                </c:pt>
                <c:pt idx="150">
                  <c:v>323.593656929628</c:v>
                </c:pt>
                <c:pt idx="151">
                  <c:v>331.131121482591</c:v>
                </c:pt>
                <c:pt idx="152">
                  <c:v>338.844156139203</c:v>
                </c:pt>
                <c:pt idx="153">
                  <c:v>346.736850452532</c:v>
                </c:pt>
                <c:pt idx="154">
                  <c:v>354.813389233576</c:v>
                </c:pt>
                <c:pt idx="155">
                  <c:v>363.078054770102</c:v>
                </c:pt>
                <c:pt idx="156">
                  <c:v>371.535229097173</c:v>
                </c:pt>
                <c:pt idx="157">
                  <c:v>380.189396320562</c:v>
                </c:pt>
                <c:pt idx="158">
                  <c:v>389.045144994281</c:v>
                </c:pt>
                <c:pt idx="159">
                  <c:v>398.107170553498</c:v>
                </c:pt>
                <c:pt idx="160">
                  <c:v>407.380277804113</c:v>
                </c:pt>
                <c:pt idx="161">
                  <c:v>416.869383470336</c:v>
                </c:pt>
                <c:pt idx="162">
                  <c:v>426.579518801593</c:v>
                </c:pt>
                <c:pt idx="163">
                  <c:v>436.515832240166</c:v>
                </c:pt>
                <c:pt idx="164">
                  <c:v>446.683592150963</c:v>
                </c:pt>
                <c:pt idx="165">
                  <c:v>457.088189614876</c:v>
                </c:pt>
                <c:pt idx="166">
                  <c:v>467.735141287198</c:v>
                </c:pt>
                <c:pt idx="167">
                  <c:v>478.630092322639</c:v>
                </c:pt>
                <c:pt idx="168">
                  <c:v>489.778819368446</c:v>
                </c:pt>
                <c:pt idx="169">
                  <c:v>501.187233627273</c:v>
                </c:pt>
                <c:pt idx="170">
                  <c:v>512.861383991365</c:v>
                </c:pt>
                <c:pt idx="171">
                  <c:v>524.807460249772</c:v>
                </c:pt>
                <c:pt idx="172">
                  <c:v>537.031796370253</c:v>
                </c:pt>
                <c:pt idx="173">
                  <c:v>549.540873857625</c:v>
                </c:pt>
                <c:pt idx="174">
                  <c:v>562.341325190349</c:v>
                </c:pt>
                <c:pt idx="175">
                  <c:v>575.439937337157</c:v>
                </c:pt>
                <c:pt idx="176">
                  <c:v>588.84365535559</c:v>
                </c:pt>
                <c:pt idx="177">
                  <c:v>602.559586074358</c:v>
                </c:pt>
                <c:pt idx="178">
                  <c:v>616.595001861483</c:v>
                </c:pt>
                <c:pt idx="179">
                  <c:v>630.957344480193</c:v>
                </c:pt>
                <c:pt idx="180">
                  <c:v>645.654229034656</c:v>
                </c:pt>
                <c:pt idx="181">
                  <c:v>660.693448007596</c:v>
                </c:pt>
                <c:pt idx="182">
                  <c:v>676.082975391982</c:v>
                </c:pt>
                <c:pt idx="183">
                  <c:v>691.830970918937</c:v>
                </c:pt>
                <c:pt idx="184">
                  <c:v>707.945784384139</c:v>
                </c:pt>
                <c:pt idx="185">
                  <c:v>724.43596007499</c:v>
                </c:pt>
                <c:pt idx="186">
                  <c:v>741.310241300918</c:v>
                </c:pt>
                <c:pt idx="187">
                  <c:v>758.577575029184</c:v>
                </c:pt>
                <c:pt idx="188">
                  <c:v>776.247116628692</c:v>
                </c:pt>
                <c:pt idx="189">
                  <c:v>794.328234724282</c:v>
                </c:pt>
                <c:pt idx="190">
                  <c:v>812.8305161641</c:v>
                </c:pt>
                <c:pt idx="191">
                  <c:v>831.763771102671</c:v>
                </c:pt>
                <c:pt idx="192">
                  <c:v>851.138038202378</c:v>
                </c:pt>
                <c:pt idx="193">
                  <c:v>870.963589956081</c:v>
                </c:pt>
                <c:pt idx="194">
                  <c:v>891.250938133747</c:v>
                </c:pt>
                <c:pt idx="195">
                  <c:v>912.01083935591</c:v>
                </c:pt>
                <c:pt idx="196">
                  <c:v>933.254300796991</c:v>
                </c:pt>
                <c:pt idx="197">
                  <c:v>954.992586021437</c:v>
                </c:pt>
                <c:pt idx="198">
                  <c:v>977.237220955811</c:v>
                </c:pt>
                <c:pt idx="199">
                  <c:v>1000</c:v>
                </c:pt>
                <c:pt idx="200">
                  <c:v>1023.29299228075</c:v>
                </c:pt>
                <c:pt idx="201">
                  <c:v>1047.1285480509</c:v>
                </c:pt>
                <c:pt idx="202">
                  <c:v>1071.51930523761</c:v>
                </c:pt>
                <c:pt idx="203">
                  <c:v>1096.47819614319</c:v>
                </c:pt>
                <c:pt idx="204">
                  <c:v>1122.01845430196</c:v>
                </c:pt>
                <c:pt idx="205">
                  <c:v>1148.15362149688</c:v>
                </c:pt>
                <c:pt idx="206">
                  <c:v>1174.89755493953</c:v>
                </c:pt>
                <c:pt idx="207">
                  <c:v>1202.26443461741</c:v>
                </c:pt>
                <c:pt idx="208">
                  <c:v>1230.26877081238</c:v>
                </c:pt>
                <c:pt idx="209">
                  <c:v>1258.92541179417</c:v>
                </c:pt>
                <c:pt idx="210">
                  <c:v>1288.24955169313</c:v>
                </c:pt>
                <c:pt idx="211">
                  <c:v>1318.25673855641</c:v>
                </c:pt>
                <c:pt idx="212">
                  <c:v>1348.96288259165</c:v>
                </c:pt>
                <c:pt idx="213">
                  <c:v>1380.38426460289</c:v>
                </c:pt>
                <c:pt idx="214">
                  <c:v>1412.53754462275</c:v>
                </c:pt>
                <c:pt idx="215">
                  <c:v>1445.43977074593</c:v>
                </c:pt>
                <c:pt idx="216">
                  <c:v>1479.10838816821</c:v>
                </c:pt>
                <c:pt idx="217">
                  <c:v>1513.56124843621</c:v>
                </c:pt>
                <c:pt idx="218">
                  <c:v>1548.81661891248</c:v>
                </c:pt>
                <c:pt idx="219">
                  <c:v>1584.89319246112</c:v>
                </c:pt>
                <c:pt idx="220">
                  <c:v>1621.81009735893</c:v>
                </c:pt>
                <c:pt idx="221">
                  <c:v>1659.58690743756</c:v>
                </c:pt>
                <c:pt idx="222">
                  <c:v>1698.24365246174</c:v>
                </c:pt>
                <c:pt idx="223">
                  <c:v>1737.80082874938</c:v>
                </c:pt>
                <c:pt idx="224">
                  <c:v>1778.27941003892</c:v>
                </c:pt>
                <c:pt idx="225">
                  <c:v>1819.70085860998</c:v>
                </c:pt>
                <c:pt idx="226">
                  <c:v>1862.08713666287</c:v>
                </c:pt>
                <c:pt idx="227">
                  <c:v>1905.46071796325</c:v>
                </c:pt>
                <c:pt idx="228">
                  <c:v>1949.84459975805</c:v>
                </c:pt>
                <c:pt idx="229">
                  <c:v>1995.26231496888</c:v>
                </c:pt>
                <c:pt idx="230">
                  <c:v>2041.73794466953</c:v>
                </c:pt>
                <c:pt idx="231">
                  <c:v>2089.29613085404</c:v>
                </c:pt>
                <c:pt idx="232">
                  <c:v>2137.96208950223</c:v>
                </c:pt>
                <c:pt idx="233">
                  <c:v>2187.76162394955</c:v>
                </c:pt>
                <c:pt idx="234">
                  <c:v>2238.72113856834</c:v>
                </c:pt>
                <c:pt idx="235">
                  <c:v>2290.86765276777</c:v>
                </c:pt>
                <c:pt idx="236">
                  <c:v>2344.22881531992</c:v>
                </c:pt>
                <c:pt idx="237">
                  <c:v>2398.83291901949</c:v>
                </c:pt>
                <c:pt idx="238">
                  <c:v>2454.70891568503</c:v>
                </c:pt>
                <c:pt idx="239">
                  <c:v>2511.88643150958</c:v>
                </c:pt>
                <c:pt idx="240">
                  <c:v>2570.39578276887</c:v>
                </c:pt>
                <c:pt idx="241">
                  <c:v>2630.26799189538</c:v>
                </c:pt>
                <c:pt idx="242">
                  <c:v>2691.53480392692</c:v>
                </c:pt>
                <c:pt idx="243">
                  <c:v>2754.22870333817</c:v>
                </c:pt>
                <c:pt idx="244">
                  <c:v>2818.38293126446</c:v>
                </c:pt>
                <c:pt idx="245">
                  <c:v>2884.03150312661</c:v>
                </c:pt>
                <c:pt idx="246">
                  <c:v>2951.20922666639</c:v>
                </c:pt>
                <c:pt idx="247">
                  <c:v>3019.95172040202</c:v>
                </c:pt>
                <c:pt idx="248">
                  <c:v>3090.29543251359</c:v>
                </c:pt>
                <c:pt idx="249">
                  <c:v>3162.27766016838</c:v>
                </c:pt>
                <c:pt idx="250">
                  <c:v>3235.93656929628</c:v>
                </c:pt>
                <c:pt idx="251">
                  <c:v>3311.31121482591</c:v>
                </c:pt>
                <c:pt idx="252">
                  <c:v>3388.44156139203</c:v>
                </c:pt>
                <c:pt idx="253">
                  <c:v>3467.36850452532</c:v>
                </c:pt>
                <c:pt idx="254">
                  <c:v>3548.13389233575</c:v>
                </c:pt>
                <c:pt idx="255">
                  <c:v>3630.78054770102</c:v>
                </c:pt>
                <c:pt idx="256">
                  <c:v>3715.35229097172</c:v>
                </c:pt>
                <c:pt idx="257">
                  <c:v>3801.89396320562</c:v>
                </c:pt>
                <c:pt idx="258">
                  <c:v>3890.45144994281</c:v>
                </c:pt>
                <c:pt idx="259">
                  <c:v>3981.07170553498</c:v>
                </c:pt>
                <c:pt idx="260">
                  <c:v>4073.80277804113</c:v>
                </c:pt>
                <c:pt idx="261">
                  <c:v>4168.69383470336</c:v>
                </c:pt>
                <c:pt idx="262">
                  <c:v>4265.79518801593</c:v>
                </c:pt>
                <c:pt idx="263">
                  <c:v>4365.15832240166</c:v>
                </c:pt>
                <c:pt idx="264">
                  <c:v>4466.83592150963</c:v>
                </c:pt>
                <c:pt idx="265">
                  <c:v>4570.88189614875</c:v>
                </c:pt>
                <c:pt idx="266">
                  <c:v>4677.35141287198</c:v>
                </c:pt>
                <c:pt idx="267">
                  <c:v>4786.30092322638</c:v>
                </c:pt>
                <c:pt idx="268">
                  <c:v>4897.78819368446</c:v>
                </c:pt>
                <c:pt idx="269">
                  <c:v>5011.87233627273</c:v>
                </c:pt>
                <c:pt idx="270">
                  <c:v>5128.61383991365</c:v>
                </c:pt>
                <c:pt idx="271">
                  <c:v>5248.07460249773</c:v>
                </c:pt>
                <c:pt idx="272">
                  <c:v>5370.31796370253</c:v>
                </c:pt>
                <c:pt idx="273">
                  <c:v>5495.40873857625</c:v>
                </c:pt>
                <c:pt idx="274">
                  <c:v>5623.4132519035</c:v>
                </c:pt>
                <c:pt idx="275">
                  <c:v>5754.39937337157</c:v>
                </c:pt>
                <c:pt idx="276">
                  <c:v>5888.4365535559</c:v>
                </c:pt>
                <c:pt idx="277">
                  <c:v>6025.59586074359</c:v>
                </c:pt>
                <c:pt idx="278">
                  <c:v>6165.95001861483</c:v>
                </c:pt>
                <c:pt idx="279">
                  <c:v>6309.57344480194</c:v>
                </c:pt>
                <c:pt idx="280">
                  <c:v>6456.54229034656</c:v>
                </c:pt>
                <c:pt idx="281">
                  <c:v>6606.93448007597</c:v>
                </c:pt>
                <c:pt idx="282">
                  <c:v>6760.82975391982</c:v>
                </c:pt>
                <c:pt idx="283">
                  <c:v>6918.30970918937</c:v>
                </c:pt>
                <c:pt idx="284">
                  <c:v>7079.45784384138</c:v>
                </c:pt>
                <c:pt idx="285">
                  <c:v>7244.3596007499</c:v>
                </c:pt>
                <c:pt idx="286">
                  <c:v>7413.10241300918</c:v>
                </c:pt>
                <c:pt idx="287">
                  <c:v>7585.77575029184</c:v>
                </c:pt>
                <c:pt idx="288">
                  <c:v>7762.47116628693</c:v>
                </c:pt>
                <c:pt idx="289">
                  <c:v>7943.28234724282</c:v>
                </c:pt>
                <c:pt idx="290">
                  <c:v>8128.30516164101</c:v>
                </c:pt>
                <c:pt idx="291">
                  <c:v>8317.63771102671</c:v>
                </c:pt>
                <c:pt idx="292">
                  <c:v>8511.38038202378</c:v>
                </c:pt>
                <c:pt idx="293">
                  <c:v>8709.63589956082</c:v>
                </c:pt>
                <c:pt idx="294">
                  <c:v>8912.50938133747</c:v>
                </c:pt>
                <c:pt idx="295">
                  <c:v>9120.10839355911</c:v>
                </c:pt>
                <c:pt idx="296">
                  <c:v>9332.54300796992</c:v>
                </c:pt>
                <c:pt idx="297">
                  <c:v>9549.92586021437</c:v>
                </c:pt>
                <c:pt idx="298">
                  <c:v>9772.37220955812</c:v>
                </c:pt>
                <c:pt idx="299">
                  <c:v>10000</c:v>
                </c:pt>
                <c:pt idx="300">
                  <c:v>10232.9299228075</c:v>
                </c:pt>
                <c:pt idx="301">
                  <c:v>10471.285480509</c:v>
                </c:pt>
                <c:pt idx="302">
                  <c:v>10715.1930523761</c:v>
                </c:pt>
                <c:pt idx="303">
                  <c:v>10964.7819614319</c:v>
                </c:pt>
                <c:pt idx="304">
                  <c:v>11220.1845430196</c:v>
                </c:pt>
                <c:pt idx="305">
                  <c:v>11481.5362149688</c:v>
                </c:pt>
                <c:pt idx="306">
                  <c:v>11748.9755493953</c:v>
                </c:pt>
                <c:pt idx="307">
                  <c:v>12022.6443461742</c:v>
                </c:pt>
                <c:pt idx="308">
                  <c:v>12302.6877081238</c:v>
                </c:pt>
                <c:pt idx="309">
                  <c:v>12589.2541179417</c:v>
                </c:pt>
                <c:pt idx="310">
                  <c:v>12882.4955169314</c:v>
                </c:pt>
                <c:pt idx="311">
                  <c:v>13182.5673855641</c:v>
                </c:pt>
                <c:pt idx="312">
                  <c:v>13489.6288259166</c:v>
                </c:pt>
                <c:pt idx="313">
                  <c:v>13803.8426460288</c:v>
                </c:pt>
                <c:pt idx="314">
                  <c:v>14125.3754462276</c:v>
                </c:pt>
                <c:pt idx="315">
                  <c:v>14454.3977074593</c:v>
                </c:pt>
                <c:pt idx="316">
                  <c:v>14791.0838816821</c:v>
                </c:pt>
                <c:pt idx="317">
                  <c:v>15135.6124843621</c:v>
                </c:pt>
                <c:pt idx="318">
                  <c:v>15488.1661891249</c:v>
                </c:pt>
                <c:pt idx="319">
                  <c:v>15848.9319246111</c:v>
                </c:pt>
                <c:pt idx="320">
                  <c:v>16218.1009735893</c:v>
                </c:pt>
                <c:pt idx="321">
                  <c:v>16595.8690743756</c:v>
                </c:pt>
                <c:pt idx="322">
                  <c:v>16982.4365246175</c:v>
                </c:pt>
                <c:pt idx="323">
                  <c:v>17378.0082874938</c:v>
                </c:pt>
                <c:pt idx="324">
                  <c:v>17782.7941003892</c:v>
                </c:pt>
                <c:pt idx="325">
                  <c:v>18197.0085860998</c:v>
                </c:pt>
                <c:pt idx="326">
                  <c:v>18620.8713666287</c:v>
                </c:pt>
                <c:pt idx="327">
                  <c:v>19054.6071796325</c:v>
                </c:pt>
                <c:pt idx="328">
                  <c:v>19498.4459975805</c:v>
                </c:pt>
                <c:pt idx="329">
                  <c:v>19952.6231496888</c:v>
                </c:pt>
                <c:pt idx="330">
                  <c:v>20417.3794466953</c:v>
                </c:pt>
                <c:pt idx="331">
                  <c:v>20892.9613085404</c:v>
                </c:pt>
                <c:pt idx="332">
                  <c:v>21379.6208950223</c:v>
                </c:pt>
                <c:pt idx="333">
                  <c:v>21877.6162394955</c:v>
                </c:pt>
                <c:pt idx="334">
                  <c:v>22387.2113856834</c:v>
                </c:pt>
                <c:pt idx="335">
                  <c:v>22908.6765276778</c:v>
                </c:pt>
                <c:pt idx="336">
                  <c:v>23442.2881531992</c:v>
                </c:pt>
                <c:pt idx="337">
                  <c:v>23988.3291901949</c:v>
                </c:pt>
                <c:pt idx="338">
                  <c:v>24547.0891568503</c:v>
                </c:pt>
                <c:pt idx="339">
                  <c:v>25118.8643150959</c:v>
                </c:pt>
                <c:pt idx="340">
                  <c:v>25703.9578276886</c:v>
                </c:pt>
                <c:pt idx="341">
                  <c:v>26302.6799189538</c:v>
                </c:pt>
                <c:pt idx="342">
                  <c:v>26915.3480392692</c:v>
                </c:pt>
                <c:pt idx="343">
                  <c:v>27542.2870333817</c:v>
                </c:pt>
                <c:pt idx="344">
                  <c:v>28183.8293126446</c:v>
                </c:pt>
                <c:pt idx="345">
                  <c:v>28840.3150312661</c:v>
                </c:pt>
                <c:pt idx="346">
                  <c:v>29512.0922666639</c:v>
                </c:pt>
                <c:pt idx="347">
                  <c:v>30199.5172040202</c:v>
                </c:pt>
                <c:pt idx="348">
                  <c:v>30902.954325136</c:v>
                </c:pt>
                <c:pt idx="349">
                  <c:v>31622.7766016838</c:v>
                </c:pt>
                <c:pt idx="350">
                  <c:v>32359.3656929629</c:v>
                </c:pt>
                <c:pt idx="351">
                  <c:v>33113.1121482591</c:v>
                </c:pt>
                <c:pt idx="352">
                  <c:v>33884.4156139203</c:v>
                </c:pt>
                <c:pt idx="353">
                  <c:v>34673.6850452532</c:v>
                </c:pt>
                <c:pt idx="354">
                  <c:v>35481.3389233576</c:v>
                </c:pt>
                <c:pt idx="355">
                  <c:v>36307.8054770102</c:v>
                </c:pt>
                <c:pt idx="356">
                  <c:v>37153.5229097174</c:v>
                </c:pt>
                <c:pt idx="357">
                  <c:v>38018.9396320561</c:v>
                </c:pt>
                <c:pt idx="358">
                  <c:v>38904.5144994281</c:v>
                </c:pt>
                <c:pt idx="359">
                  <c:v>39810.7170553497</c:v>
                </c:pt>
                <c:pt idx="360">
                  <c:v>40738.0277804114</c:v>
                </c:pt>
                <c:pt idx="361">
                  <c:v>41686.9383470336</c:v>
                </c:pt>
                <c:pt idx="362">
                  <c:v>42657.9518801593</c:v>
                </c:pt>
                <c:pt idx="363">
                  <c:v>43651.5832240166</c:v>
                </c:pt>
                <c:pt idx="364">
                  <c:v>44668.3592150964</c:v>
                </c:pt>
                <c:pt idx="365">
                  <c:v>45708.8189614876</c:v>
                </c:pt>
                <c:pt idx="366">
                  <c:v>46773.5141287199</c:v>
                </c:pt>
                <c:pt idx="367">
                  <c:v>47863.0092322638</c:v>
                </c:pt>
                <c:pt idx="368">
                  <c:v>48977.8819368446</c:v>
                </c:pt>
                <c:pt idx="369">
                  <c:v>50118.7233627273</c:v>
                </c:pt>
                <c:pt idx="370">
                  <c:v>51286.1383991365</c:v>
                </c:pt>
                <c:pt idx="371">
                  <c:v>52480.7460249773</c:v>
                </c:pt>
                <c:pt idx="372">
                  <c:v>53703.1796370254</c:v>
                </c:pt>
                <c:pt idx="373">
                  <c:v>54954.0873857625</c:v>
                </c:pt>
                <c:pt idx="374">
                  <c:v>56234.132519035</c:v>
                </c:pt>
                <c:pt idx="375">
                  <c:v>57543.9937337157</c:v>
                </c:pt>
                <c:pt idx="376">
                  <c:v>58884.3655355589</c:v>
                </c:pt>
                <c:pt idx="377">
                  <c:v>60255.9586074359</c:v>
                </c:pt>
                <c:pt idx="378">
                  <c:v>61659.5001861482</c:v>
                </c:pt>
                <c:pt idx="379">
                  <c:v>63095.7344480193</c:v>
                </c:pt>
                <c:pt idx="380">
                  <c:v>64565.4229034657</c:v>
                </c:pt>
                <c:pt idx="381">
                  <c:v>66069.3448007597</c:v>
                </c:pt>
                <c:pt idx="382">
                  <c:v>67608.2975391983</c:v>
                </c:pt>
                <c:pt idx="383">
                  <c:v>69183.0970918937</c:v>
                </c:pt>
                <c:pt idx="384">
                  <c:v>70794.5784384138</c:v>
                </c:pt>
                <c:pt idx="385">
                  <c:v>72443.5960074991</c:v>
                </c:pt>
                <c:pt idx="386">
                  <c:v>74131.0241300919</c:v>
                </c:pt>
                <c:pt idx="387">
                  <c:v>75857.7575029185</c:v>
                </c:pt>
                <c:pt idx="388">
                  <c:v>77624.7116628691</c:v>
                </c:pt>
                <c:pt idx="389">
                  <c:v>79432.8234724282</c:v>
                </c:pt>
                <c:pt idx="390">
                  <c:v>81283.05161641</c:v>
                </c:pt>
                <c:pt idx="391">
                  <c:v>83176.3771102672</c:v>
                </c:pt>
                <c:pt idx="392">
                  <c:v>85113.8038202377</c:v>
                </c:pt>
                <c:pt idx="393">
                  <c:v>87096.3589956081</c:v>
                </c:pt>
                <c:pt idx="394">
                  <c:v>89125.0938133746</c:v>
                </c:pt>
                <c:pt idx="395">
                  <c:v>91201.083935591</c:v>
                </c:pt>
                <c:pt idx="396">
                  <c:v>93325.4300796991</c:v>
                </c:pt>
                <c:pt idx="397">
                  <c:v>95499.2586021438</c:v>
                </c:pt>
                <c:pt idx="398">
                  <c:v>97723.7220955813</c:v>
                </c:pt>
                <c:pt idx="399">
                  <c:v>100000</c:v>
                </c:pt>
                <c:pt idx="400">
                  <c:v>102329.299228075</c:v>
                </c:pt>
                <c:pt idx="401">
                  <c:v>104712.85480509</c:v>
                </c:pt>
                <c:pt idx="402">
                  <c:v>107151.930523761</c:v>
                </c:pt>
                <c:pt idx="403">
                  <c:v>109647.819614319</c:v>
                </c:pt>
                <c:pt idx="404">
                  <c:v>112201.845430197</c:v>
                </c:pt>
                <c:pt idx="405">
                  <c:v>114815.362149688</c:v>
                </c:pt>
                <c:pt idx="406">
                  <c:v>117489.755493953</c:v>
                </c:pt>
                <c:pt idx="407">
                  <c:v>120226.443461741</c:v>
                </c:pt>
                <c:pt idx="408">
                  <c:v>123026.877081238</c:v>
                </c:pt>
                <c:pt idx="409">
                  <c:v>125892.541179417</c:v>
                </c:pt>
                <c:pt idx="410">
                  <c:v>128824.955169314</c:v>
                </c:pt>
                <c:pt idx="411">
                  <c:v>131825.673855641</c:v>
                </c:pt>
                <c:pt idx="412">
                  <c:v>134896.288259165</c:v>
                </c:pt>
                <c:pt idx="413">
                  <c:v>138038.426460289</c:v>
                </c:pt>
                <c:pt idx="414">
                  <c:v>141253.754462276</c:v>
                </c:pt>
                <c:pt idx="415">
                  <c:v>144543.977074593</c:v>
                </c:pt>
                <c:pt idx="416">
                  <c:v>147910.838816821</c:v>
                </c:pt>
                <c:pt idx="417">
                  <c:v>151356.124843621</c:v>
                </c:pt>
                <c:pt idx="418">
                  <c:v>154881.661891248</c:v>
                </c:pt>
                <c:pt idx="419">
                  <c:v>158489.319246112</c:v>
                </c:pt>
                <c:pt idx="420">
                  <c:v>162181.009735893</c:v>
                </c:pt>
                <c:pt idx="421">
                  <c:v>165958.690743756</c:v>
                </c:pt>
                <c:pt idx="422">
                  <c:v>169824.365246175</c:v>
                </c:pt>
                <c:pt idx="423">
                  <c:v>173780.082874938</c:v>
                </c:pt>
                <c:pt idx="424">
                  <c:v>177827.941003893</c:v>
                </c:pt>
                <c:pt idx="425">
                  <c:v>181970.085860999</c:v>
                </c:pt>
                <c:pt idx="426">
                  <c:v>186208.713666287</c:v>
                </c:pt>
                <c:pt idx="427">
                  <c:v>190546.071796325</c:v>
                </c:pt>
                <c:pt idx="428">
                  <c:v>194984.459975805</c:v>
                </c:pt>
                <c:pt idx="429">
                  <c:v>199526.231496888</c:v>
                </c:pt>
                <c:pt idx="430">
                  <c:v>204173.794466953</c:v>
                </c:pt>
                <c:pt idx="431">
                  <c:v>208929.613085404</c:v>
                </c:pt>
                <c:pt idx="432">
                  <c:v>213796.208950223</c:v>
                </c:pt>
                <c:pt idx="433">
                  <c:v>218776.162394955</c:v>
                </c:pt>
                <c:pt idx="434">
                  <c:v>223872.113856834</c:v>
                </c:pt>
                <c:pt idx="435">
                  <c:v>229086.765276778</c:v>
                </c:pt>
                <c:pt idx="436">
                  <c:v>234422.881531993</c:v>
                </c:pt>
                <c:pt idx="437">
                  <c:v>239883.291901949</c:v>
                </c:pt>
                <c:pt idx="438">
                  <c:v>245470.891568503</c:v>
                </c:pt>
                <c:pt idx="439">
                  <c:v>251188.643150958</c:v>
                </c:pt>
                <c:pt idx="440">
                  <c:v>257039.578276887</c:v>
                </c:pt>
                <c:pt idx="441">
                  <c:v>263026.799189539</c:v>
                </c:pt>
                <c:pt idx="442">
                  <c:v>269153.480392691</c:v>
                </c:pt>
                <c:pt idx="443">
                  <c:v>275422.870333817</c:v>
                </c:pt>
                <c:pt idx="444">
                  <c:v>281838.293126446</c:v>
                </c:pt>
                <c:pt idx="445">
                  <c:v>288403.150312661</c:v>
                </c:pt>
                <c:pt idx="446">
                  <c:v>295120.922666639</c:v>
                </c:pt>
                <c:pt idx="447">
                  <c:v>301995.172040202</c:v>
                </c:pt>
                <c:pt idx="448">
                  <c:v>309029.543251359</c:v>
                </c:pt>
                <c:pt idx="449">
                  <c:v>316227.766016838</c:v>
                </c:pt>
                <c:pt idx="450">
                  <c:v>323593.656929628</c:v>
                </c:pt>
                <c:pt idx="451">
                  <c:v>331131.121482591</c:v>
                </c:pt>
                <c:pt idx="452">
                  <c:v>338844.156139203</c:v>
                </c:pt>
                <c:pt idx="453">
                  <c:v>346736.850452532</c:v>
                </c:pt>
                <c:pt idx="454">
                  <c:v>354813.389233576</c:v>
                </c:pt>
                <c:pt idx="455">
                  <c:v>363078.054770102</c:v>
                </c:pt>
                <c:pt idx="456">
                  <c:v>371535.229097173</c:v>
                </c:pt>
                <c:pt idx="457">
                  <c:v>380189.396320562</c:v>
                </c:pt>
                <c:pt idx="458">
                  <c:v>389045.144994281</c:v>
                </c:pt>
                <c:pt idx="459">
                  <c:v>398107.170553497</c:v>
                </c:pt>
                <c:pt idx="460">
                  <c:v>407380.277804113</c:v>
                </c:pt>
                <c:pt idx="461">
                  <c:v>416869.383470336</c:v>
                </c:pt>
                <c:pt idx="462">
                  <c:v>426579.518801593</c:v>
                </c:pt>
                <c:pt idx="463">
                  <c:v>436515.832240166</c:v>
                </c:pt>
                <c:pt idx="464">
                  <c:v>446683.592150964</c:v>
                </c:pt>
                <c:pt idx="465">
                  <c:v>457088.189614875</c:v>
                </c:pt>
                <c:pt idx="466">
                  <c:v>467735.141287199</c:v>
                </c:pt>
                <c:pt idx="467">
                  <c:v>478630.092322639</c:v>
                </c:pt>
                <c:pt idx="468">
                  <c:v>489778.819368447</c:v>
                </c:pt>
                <c:pt idx="469">
                  <c:v>501187.233627273</c:v>
                </c:pt>
                <c:pt idx="470">
                  <c:v>512861.383991365</c:v>
                </c:pt>
                <c:pt idx="471">
                  <c:v>524807.460249773</c:v>
                </c:pt>
                <c:pt idx="472">
                  <c:v>537031.796370254</c:v>
                </c:pt>
                <c:pt idx="473">
                  <c:v>549540.873857626</c:v>
                </c:pt>
                <c:pt idx="474">
                  <c:v>562341.32519035</c:v>
                </c:pt>
                <c:pt idx="475">
                  <c:v>575439.937337157</c:v>
                </c:pt>
                <c:pt idx="476">
                  <c:v>588843.655355589</c:v>
                </c:pt>
                <c:pt idx="477">
                  <c:v>602559.586074359</c:v>
                </c:pt>
                <c:pt idx="478">
                  <c:v>616595.001861483</c:v>
                </c:pt>
                <c:pt idx="479">
                  <c:v>630957.344480194</c:v>
                </c:pt>
                <c:pt idx="480">
                  <c:v>645654.229034657</c:v>
                </c:pt>
                <c:pt idx="481">
                  <c:v>660693.448007597</c:v>
                </c:pt>
                <c:pt idx="482">
                  <c:v>676082.975391983</c:v>
                </c:pt>
                <c:pt idx="483">
                  <c:v>691830.970918937</c:v>
                </c:pt>
                <c:pt idx="484">
                  <c:v>707945.784384139</c:v>
                </c:pt>
                <c:pt idx="485">
                  <c:v>724435.960074992</c:v>
                </c:pt>
                <c:pt idx="486">
                  <c:v>741310.241300918</c:v>
                </c:pt>
                <c:pt idx="487">
                  <c:v>758577.575029184</c:v>
                </c:pt>
                <c:pt idx="488">
                  <c:v>776247.116628692</c:v>
                </c:pt>
                <c:pt idx="489">
                  <c:v>794328.234724283</c:v>
                </c:pt>
                <c:pt idx="490">
                  <c:v>812830.516164101</c:v>
                </c:pt>
                <c:pt idx="491">
                  <c:v>831763.771102671</c:v>
                </c:pt>
                <c:pt idx="492">
                  <c:v>851138.038202377</c:v>
                </c:pt>
                <c:pt idx="493">
                  <c:v>870963.589956081</c:v>
                </c:pt>
                <c:pt idx="494">
                  <c:v>891250.938133747</c:v>
                </c:pt>
                <c:pt idx="495">
                  <c:v>912010.839355911</c:v>
                </c:pt>
                <c:pt idx="496">
                  <c:v>933254.300796992</c:v>
                </c:pt>
                <c:pt idx="497">
                  <c:v>954992.586021437</c:v>
                </c:pt>
                <c:pt idx="498">
                  <c:v>977237.220955812</c:v>
                </c:pt>
                <c:pt idx="499">
                  <c:v>1000000</c:v>
                </c:pt>
                <c:pt idx="500">
                  <c:v>1023292.99228076</c:v>
                </c:pt>
                <c:pt idx="501">
                  <c:v>1047128.5480509</c:v>
                </c:pt>
                <c:pt idx="502">
                  <c:v>1071519.30523761</c:v>
                </c:pt>
                <c:pt idx="503">
                  <c:v>1096478.19614319</c:v>
                </c:pt>
                <c:pt idx="504">
                  <c:v>1122018.45430196</c:v>
                </c:pt>
                <c:pt idx="505">
                  <c:v>1148153.62149688</c:v>
                </c:pt>
                <c:pt idx="506">
                  <c:v>1174897.55493953</c:v>
                </c:pt>
                <c:pt idx="507">
                  <c:v>1202264.43461742</c:v>
                </c:pt>
                <c:pt idx="508">
                  <c:v>1230268.77081238</c:v>
                </c:pt>
                <c:pt idx="509">
                  <c:v>1258925.41179417</c:v>
                </c:pt>
                <c:pt idx="510">
                  <c:v>1288249.55169314</c:v>
                </c:pt>
                <c:pt idx="511">
                  <c:v>1318256.73855641</c:v>
                </c:pt>
                <c:pt idx="512">
                  <c:v>1348962.88259166</c:v>
                </c:pt>
                <c:pt idx="513">
                  <c:v>1380384.26460288</c:v>
                </c:pt>
                <c:pt idx="514">
                  <c:v>1412537.54462276</c:v>
                </c:pt>
                <c:pt idx="515">
                  <c:v>1445439.77074593</c:v>
                </c:pt>
                <c:pt idx="516">
                  <c:v>1479108.38816821</c:v>
                </c:pt>
                <c:pt idx="517">
                  <c:v>1513561.24843621</c:v>
                </c:pt>
                <c:pt idx="518">
                  <c:v>1548816.61891249</c:v>
                </c:pt>
                <c:pt idx="519">
                  <c:v>1584893.19246112</c:v>
                </c:pt>
                <c:pt idx="520">
                  <c:v>1621810.09735893</c:v>
                </c:pt>
                <c:pt idx="521">
                  <c:v>1659586.90743756</c:v>
                </c:pt>
                <c:pt idx="522">
                  <c:v>1698243.65246175</c:v>
                </c:pt>
                <c:pt idx="523">
                  <c:v>1737800.82874938</c:v>
                </c:pt>
                <c:pt idx="524">
                  <c:v>1778279.41003892</c:v>
                </c:pt>
                <c:pt idx="525">
                  <c:v>1819700.85860998</c:v>
                </c:pt>
                <c:pt idx="526">
                  <c:v>1862087.13666287</c:v>
                </c:pt>
                <c:pt idx="527">
                  <c:v>1905460.71796325</c:v>
                </c:pt>
                <c:pt idx="528">
                  <c:v>1949844.59975805</c:v>
                </c:pt>
                <c:pt idx="529">
                  <c:v>1995262.31496888</c:v>
                </c:pt>
                <c:pt idx="530">
                  <c:v>2041737.94466953</c:v>
                </c:pt>
                <c:pt idx="531">
                  <c:v>2089296.13085404</c:v>
                </c:pt>
                <c:pt idx="532">
                  <c:v>2137962.08950224</c:v>
                </c:pt>
                <c:pt idx="533">
                  <c:v>2187761.62394956</c:v>
                </c:pt>
                <c:pt idx="534">
                  <c:v>2238721.13856834</c:v>
                </c:pt>
                <c:pt idx="535">
                  <c:v>2290867.65276778</c:v>
                </c:pt>
                <c:pt idx="536">
                  <c:v>2344228.81531993</c:v>
                </c:pt>
                <c:pt idx="537">
                  <c:v>2398832.91901949</c:v>
                </c:pt>
                <c:pt idx="538">
                  <c:v>2454708.91568503</c:v>
                </c:pt>
                <c:pt idx="539">
                  <c:v>2511886.43150959</c:v>
                </c:pt>
                <c:pt idx="540">
                  <c:v>2570395.78276887</c:v>
                </c:pt>
                <c:pt idx="541">
                  <c:v>2630267.99189538</c:v>
                </c:pt>
              </c:numCache>
            </c:numRef>
          </c:xVal>
          <c:yVal>
            <c:numRef>
              <c:f>Loop_Modeling!$BM$19:$BM$560</c:f>
              <c:numCache>
                <c:formatCode>General</c:formatCode>
                <c:ptCount val="542"/>
                <c:pt idx="0">
                  <c:v>87.1362801473208</c:v>
                </c:pt>
                <c:pt idx="1">
                  <c:v>87.0700763385623</c:v>
                </c:pt>
                <c:pt idx="2">
                  <c:v>87.0023660293467</c:v>
                </c:pt>
                <c:pt idx="3">
                  <c:v>86.9331166455999</c:v>
                </c:pt>
                <c:pt idx="4">
                  <c:v>86.8622950311027</c:v>
                </c:pt>
                <c:pt idx="5">
                  <c:v>86.789867446152</c:v>
                </c:pt>
                <c:pt idx="6">
                  <c:v>86.715799567017</c:v>
                </c:pt>
                <c:pt idx="7">
                  <c:v>86.6400564862601</c:v>
                </c:pt>
                <c:pt idx="8">
                  <c:v>86.5626027140009</c:v>
                </c:pt>
                <c:pt idx="9">
                  <c:v>86.4834021802034</c:v>
                </c:pt>
                <c:pt idx="10">
                  <c:v>86.402418238075</c:v>
                </c:pt>
                <c:pt idx="11">
                  <c:v>86.3196136686667</c:v>
                </c:pt>
                <c:pt idx="12">
                  <c:v>86.2349506867778</c:v>
                </c:pt>
                <c:pt idx="13">
                  <c:v>86.1483909482636</c:v>
                </c:pt>
                <c:pt idx="14">
                  <c:v>86.0598955588636</c:v>
                </c:pt>
                <c:pt idx="15">
                  <c:v>85.9694250846615</c:v>
                </c:pt>
                <c:pt idx="16">
                  <c:v>85.8769395643072</c:v>
                </c:pt>
                <c:pt idx="17">
                  <c:v>85.7823985231294</c:v>
                </c:pt>
                <c:pt idx="18">
                  <c:v>85.6857609892805</c:v>
                </c:pt>
                <c:pt idx="19">
                  <c:v>85.58698551206</c:v>
                </c:pt>
                <c:pt idx="20">
                  <c:v>85.4860301825736</c:v>
                </c:pt>
                <c:pt idx="21">
                  <c:v>85.3828526568916</c:v>
                </c:pt>
                <c:pt idx="22">
                  <c:v>85.2774101818796</c:v>
                </c:pt>
                <c:pt idx="23">
                  <c:v>85.1696596238831</c:v>
                </c:pt>
                <c:pt idx="24">
                  <c:v>85.0595575004591</c:v>
                </c:pt>
                <c:pt idx="25">
                  <c:v>84.9470600153515</c:v>
                </c:pt>
                <c:pt idx="26">
                  <c:v>84.8321230969242</c:v>
                </c:pt>
                <c:pt idx="27">
                  <c:v>84.7147024402684</c:v>
                </c:pt>
                <c:pt idx="28">
                  <c:v>84.5947535532146</c:v>
                </c:pt>
                <c:pt idx="29">
                  <c:v>84.4722318064876</c:v>
                </c:pt>
                <c:pt idx="30">
                  <c:v>84.3470924882523</c:v>
                </c:pt>
                <c:pt idx="31">
                  <c:v>84.2192908633092</c:v>
                </c:pt>
                <c:pt idx="32">
                  <c:v>84.0887822372041</c:v>
                </c:pt>
                <c:pt idx="33">
                  <c:v>83.9555220255293</c:v>
                </c:pt>
                <c:pt idx="34">
                  <c:v>83.8194658286988</c:v>
                </c:pt>
                <c:pt idx="35">
                  <c:v>83.6805695124893</c:v>
                </c:pt>
                <c:pt idx="36">
                  <c:v>83.5387892946456</c:v>
                </c:pt>
                <c:pt idx="37">
                  <c:v>83.3940818378534</c:v>
                </c:pt>
                <c:pt idx="38">
                  <c:v>83.2464043493905</c:v>
                </c:pt>
                <c:pt idx="39">
                  <c:v>83.0957146877678</c:v>
                </c:pt>
                <c:pt idx="40">
                  <c:v>82.9419714766767</c:v>
                </c:pt>
                <c:pt idx="41">
                  <c:v>82.7851342265555</c:v>
                </c:pt>
                <c:pt idx="42">
                  <c:v>82.6251634640926</c:v>
                </c:pt>
                <c:pt idx="43">
                  <c:v>82.4620208699735</c:v>
                </c:pt>
                <c:pt idx="44">
                  <c:v>82.2956694251769</c:v>
                </c:pt>
                <c:pt idx="45">
                  <c:v>82.1260735661115</c:v>
                </c:pt>
                <c:pt idx="46">
                  <c:v>81.9531993488805</c:v>
                </c:pt>
                <c:pt idx="47">
                  <c:v>81.7770146229323</c:v>
                </c:pt>
                <c:pt idx="48">
                  <c:v>81.5974892143498</c:v>
                </c:pt>
                <c:pt idx="49">
                  <c:v>81.414595118992</c:v>
                </c:pt>
                <c:pt idx="50">
                  <c:v>81.2283067056864</c:v>
                </c:pt>
                <c:pt idx="51">
                  <c:v>81.038600929623</c:v>
                </c:pt>
                <c:pt idx="52">
                  <c:v>80.8454575560696</c:v>
                </c:pt>
                <c:pt idx="53">
                  <c:v>80.6488593944787</c:v>
                </c:pt>
                <c:pt idx="54">
                  <c:v>80.4487925429994</c:v>
                </c:pt>
                <c:pt idx="55">
                  <c:v>80.2452466433575</c:v>
                </c:pt>
                <c:pt idx="56">
                  <c:v>80.0382151459874</c:v>
                </c:pt>
                <c:pt idx="57">
                  <c:v>79.8276955852347</c:v>
                </c:pt>
                <c:pt idx="58">
                  <c:v>79.6136898643593</c:v>
                </c:pt>
                <c:pt idx="59">
                  <c:v>79.3962045499792</c:v>
                </c:pt>
                <c:pt idx="60">
                  <c:v>79.175251175493</c:v>
                </c:pt>
                <c:pt idx="61">
                  <c:v>78.9508465529142</c:v>
                </c:pt>
                <c:pt idx="62">
                  <c:v>78.7230130924265</c:v>
                </c:pt>
                <c:pt idx="63">
                  <c:v>78.4917791288464</c:v>
                </c:pt>
                <c:pt idx="64">
                  <c:v>78.257179254043</c:v>
                </c:pt>
                <c:pt idx="65">
                  <c:v>78.0192546542196</c:v>
                </c:pt>
                <c:pt idx="66">
                  <c:v>77.7780534508098</c:v>
                </c:pt>
                <c:pt idx="67">
                  <c:v>77.5336310435838</c:v>
                </c:pt>
                <c:pt idx="68">
                  <c:v>77.2860504543914</c:v>
                </c:pt>
                <c:pt idx="69">
                  <c:v>77.0353826697982</c:v>
                </c:pt>
                <c:pt idx="70">
                  <c:v>76.7817069806976</c:v>
                </c:pt>
                <c:pt idx="71">
                  <c:v>76.525111316801</c:v>
                </c:pt>
                <c:pt idx="72">
                  <c:v>76.2656925737311</c:v>
                </c:pt>
                <c:pt idx="73">
                  <c:v>76.0035569302646</c:v>
                </c:pt>
                <c:pt idx="74">
                  <c:v>75.7388201530981</c:v>
                </c:pt>
                <c:pt idx="75">
                  <c:v>75.4716078863407</c:v>
                </c:pt>
                <c:pt idx="76">
                  <c:v>75.2020559227796</c:v>
                </c:pt>
                <c:pt idx="77">
                  <c:v>74.9303104538172</c:v>
                </c:pt>
                <c:pt idx="78">
                  <c:v>74.6565282948459</c:v>
                </c:pt>
                <c:pt idx="79">
                  <c:v>74.3808770827122</c:v>
                </c:pt>
                <c:pt idx="80">
                  <c:v>74.103535441833</c:v>
                </c:pt>
                <c:pt idx="81">
                  <c:v>73.8246931154602</c:v>
                </c:pt>
                <c:pt idx="82">
                  <c:v>73.5445510585499</c:v>
                </c:pt>
                <c:pt idx="83">
                  <c:v>73.2633214886948</c:v>
                </c:pt>
                <c:pt idx="84">
                  <c:v>72.9812278916076</c:v>
                </c:pt>
                <c:pt idx="85">
                  <c:v>72.6985049777151</c:v>
                </c:pt>
                <c:pt idx="86">
                  <c:v>72.4153985865392</c:v>
                </c:pt>
                <c:pt idx="87">
                  <c:v>72.1321655357008</c:v>
                </c:pt>
                <c:pt idx="88">
                  <c:v>71.8490734115855</c:v>
                </c:pt>
                <c:pt idx="89">
                  <c:v>71.5664002989698</c:v>
                </c:pt>
                <c:pt idx="90">
                  <c:v>71.2844344472058</c:v>
                </c:pt>
                <c:pt idx="91">
                  <c:v>71.0034738709161</c:v>
                </c:pt>
                <c:pt idx="92">
                  <c:v>70.7238258835539</c:v>
                </c:pt>
                <c:pt idx="93">
                  <c:v>70.4458065626228</c:v>
                </c:pt>
                <c:pt idx="94">
                  <c:v>70.1697401458506</c:v>
                </c:pt>
                <c:pt idx="95">
                  <c:v>69.8959583581323</c:v>
                </c:pt>
                <c:pt idx="96">
                  <c:v>69.6247996696289</c:v>
                </c:pt>
                <c:pt idx="97">
                  <c:v>69.3566084860009</c:v>
                </c:pt>
                <c:pt idx="98">
                  <c:v>69.0917342723718</c:v>
                </c:pt>
                <c:pt idx="99">
                  <c:v>68.8305306132604</c:v>
                </c:pt>
                <c:pt idx="100">
                  <c:v>68.5733542113536</c:v>
                </c:pt>
                <c:pt idx="101">
                  <c:v>68.3205638286427</c:v>
                </c:pt>
                <c:pt idx="102">
                  <c:v>68.0725191740817</c:v>
                </c:pt>
                <c:pt idx="103">
                  <c:v>67.8295797425436</c:v>
                </c:pt>
                <c:pt idx="104">
                  <c:v>67.5921036104485</c:v>
                </c:pt>
                <c:pt idx="105">
                  <c:v>67.3604461939908</c:v>
                </c:pt>
                <c:pt idx="106">
                  <c:v>67.1349589764221</c:v>
                </c:pt>
                <c:pt idx="107">
                  <c:v>66.9159882112994</c:v>
                </c:pt>
                <c:pt idx="108">
                  <c:v>66.703873609035</c:v>
                </c:pt>
                <c:pt idx="109">
                  <c:v>66.4989470144153</c:v>
                </c:pt>
                <c:pt idx="110">
                  <c:v>66.3015310830545</c:v>
                </c:pt>
                <c:pt idx="111">
                  <c:v>66.111937964935</c:v>
                </c:pt>
                <c:pt idx="112">
                  <c:v>65.9304680033375</c:v>
                </c:pt>
                <c:pt idx="113">
                  <c:v>65.7574084575004</c:v>
                </c:pt>
                <c:pt idx="114">
                  <c:v>65.5930322573431</c:v>
                </c:pt>
                <c:pt idx="115">
                  <c:v>65.4375967984582</c:v>
                </c:pt>
                <c:pt idx="116">
                  <c:v>65.2913427854341</c:v>
                </c:pt>
                <c:pt idx="117">
                  <c:v>65.1544931312829</c:v>
                </c:pt>
                <c:pt idx="118">
                  <c:v>65.0272519204495</c:v>
                </c:pt>
                <c:pt idx="119">
                  <c:v>64.9098034424746</c:v>
                </c:pt>
                <c:pt idx="120">
                  <c:v>64.8023113029337</c:v>
                </c:pt>
                <c:pt idx="121">
                  <c:v>64.7049176177687</c:v>
                </c:pt>
                <c:pt idx="122">
                  <c:v>64.6177422965601</c:v>
                </c:pt>
                <c:pt idx="123">
                  <c:v>64.5408824196835</c:v>
                </c:pt>
                <c:pt idx="124">
                  <c:v>64.4744117136413</c:v>
                </c:pt>
                <c:pt idx="125">
                  <c:v>64.4183801281877</c:v>
                </c:pt>
                <c:pt idx="126">
                  <c:v>64.3728135181362</c:v>
                </c:pt>
                <c:pt idx="127">
                  <c:v>64.3377134320235</c:v>
                </c:pt>
                <c:pt idx="128">
                  <c:v>64.313057009036</c:v>
                </c:pt>
                <c:pt idx="129">
                  <c:v>64.2987969848564</c:v>
                </c:pt>
                <c:pt idx="130">
                  <c:v>64.2948618063147</c:v>
                </c:pt>
                <c:pt idx="131">
                  <c:v>64.3011558539625</c:v>
                </c:pt>
                <c:pt idx="132">
                  <c:v>64.3175597709332</c:v>
                </c:pt>
                <c:pt idx="133">
                  <c:v>64.3439308957</c:v>
                </c:pt>
                <c:pt idx="134">
                  <c:v>64.3801037956225</c:v>
                </c:pt>
                <c:pt idx="135">
                  <c:v>64.4258908974546</c:v>
                </c:pt>
                <c:pt idx="136">
                  <c:v>64.4810832103356</c:v>
                </c:pt>
                <c:pt idx="137">
                  <c:v>64.545451136121</c:v>
                </c:pt>
                <c:pt idx="138">
                  <c:v>64.6187453613391</c:v>
                </c:pt>
                <c:pt idx="139">
                  <c:v>64.7006978244937</c:v>
                </c:pt>
                <c:pt idx="140">
                  <c:v>64.7910227519521</c:v>
                </c:pt>
                <c:pt idx="141">
                  <c:v>64.8894177552118</c:v>
                </c:pt>
                <c:pt idx="142">
                  <c:v>64.995564981975</c:v>
                </c:pt>
                <c:pt idx="143">
                  <c:v>65.109132313155</c:v>
                </c:pt>
                <c:pt idx="144">
                  <c:v>65.2297745977057</c:v>
                </c:pt>
                <c:pt idx="145">
                  <c:v>65.3571349170092</c:v>
                </c:pt>
                <c:pt idx="146">
                  <c:v>65.4908458704792</c:v>
                </c:pt>
                <c:pt idx="147">
                  <c:v>65.6305308740335</c:v>
                </c:pt>
                <c:pt idx="148">
                  <c:v>65.775805463169</c:v>
                </c:pt>
                <c:pt idx="149">
                  <c:v>65.9262785925218</c:v>
                </c:pt>
                <c:pt idx="150">
                  <c:v>66.0815539240289</c:v>
                </c:pt>
                <c:pt idx="151">
                  <c:v>66.2412310961033</c:v>
                </c:pt>
                <c:pt idx="152">
                  <c:v>66.4049069666051</c:v>
                </c:pt>
                <c:pt idx="153">
                  <c:v>66.5721768228139</c:v>
                </c:pt>
                <c:pt idx="154">
                  <c:v>66.7426355521018</c:v>
                </c:pt>
                <c:pt idx="155">
                  <c:v>66.9158787675245</c:v>
                </c:pt>
                <c:pt idx="156">
                  <c:v>67.0915038831289</c:v>
                </c:pt>
                <c:pt idx="157">
                  <c:v>67.2691111343793</c:v>
                </c:pt>
                <c:pt idx="158">
                  <c:v>67.4483045397164</c:v>
                </c:pt>
                <c:pt idx="159">
                  <c:v>67.6286927999293</c:v>
                </c:pt>
                <c:pt idx="160">
                  <c:v>67.8098901326359</c:v>
                </c:pt>
                <c:pt idx="161">
                  <c:v>67.9915170398369</c:v>
                </c:pt>
                <c:pt idx="162">
                  <c:v>68.173201007123</c:v>
                </c:pt>
                <c:pt idx="163">
                  <c:v>68.3545771337358</c:v>
                </c:pt>
                <c:pt idx="164">
                  <c:v>68.5352886932723</c:v>
                </c:pt>
                <c:pt idx="165">
                  <c:v>68.7149876253703</c:v>
                </c:pt>
                <c:pt idx="166">
                  <c:v>68.8933349592462</c:v>
                </c:pt>
                <c:pt idx="167">
                  <c:v>69.0700011704228</c:v>
                </c:pt>
                <c:pt idx="168">
                  <c:v>69.2446664724281</c:v>
                </c:pt>
                <c:pt idx="169">
                  <c:v>69.4170210456249</c:v>
                </c:pt>
                <c:pt idx="170">
                  <c:v>69.5867652056892</c:v>
                </c:pt>
                <c:pt idx="171">
                  <c:v>69.7536095145182</c:v>
                </c:pt>
                <c:pt idx="172">
                  <c:v>69.9172748366209</c:v>
                </c:pt>
                <c:pt idx="173">
                  <c:v>70.0774923442177</c:v>
                </c:pt>
                <c:pt idx="174">
                  <c:v>70.2340034744311</c:v>
                </c:pt>
                <c:pt idx="175">
                  <c:v>70.3865598420572</c:v>
                </c:pt>
                <c:pt idx="176">
                  <c:v>70.5349231114638</c:v>
                </c:pt>
                <c:pt idx="177">
                  <c:v>70.6788648311893</c:v>
                </c:pt>
                <c:pt idx="178">
                  <c:v>70.8181662348071</c:v>
                </c:pt>
                <c:pt idx="179">
                  <c:v>70.9526180115715</c:v>
                </c:pt>
                <c:pt idx="180">
                  <c:v>71.0820200502966</c:v>
                </c:pt>
                <c:pt idx="181">
                  <c:v>71.2061811598245</c:v>
                </c:pt>
                <c:pt idx="182">
                  <c:v>71.3249187693148</c:v>
                </c:pt>
                <c:pt idx="183">
                  <c:v>71.438058611467</c:v>
                </c:pt>
                <c:pt idx="184">
                  <c:v>71.5454343916294</c:v>
                </c:pt>
                <c:pt idx="185">
                  <c:v>71.6468874455929</c:v>
                </c:pt>
                <c:pt idx="186">
                  <c:v>71.7422663887056</c:v>
                </c:pt>
                <c:pt idx="187">
                  <c:v>71.8314267587661</c:v>
                </c:pt>
                <c:pt idx="188">
                  <c:v>71.9142306549899</c:v>
                </c:pt>
                <c:pt idx="189">
                  <c:v>71.9905463751566</c:v>
                </c:pt>
                <c:pt idx="190">
                  <c:v>72.0602480528804</c:v>
                </c:pt>
                <c:pt idx="191">
                  <c:v>72.1232152967825</c:v>
                </c:pt>
                <c:pt idx="192">
                  <c:v>72.1793328331643</c:v>
                </c:pt>
                <c:pt idx="193">
                  <c:v>72.2284901536378</c:v>
                </c:pt>
                <c:pt idx="194">
                  <c:v>72.2705811690077</c:v>
                </c:pt>
                <c:pt idx="195">
                  <c:v>72.3055038705607</c:v>
                </c:pt>
                <c:pt idx="196">
                  <c:v>72.3331599997818</c:v>
                </c:pt>
                <c:pt idx="197">
                  <c:v>72.3534547273895</c:v>
                </c:pt>
                <c:pt idx="198">
                  <c:v>72.3662963424631</c:v>
                </c:pt>
                <c:pt idx="199">
                  <c:v>72.3715959523331</c:v>
                </c:pt>
                <c:pt idx="200">
                  <c:v>72.3692671937969</c:v>
                </c:pt>
                <c:pt idx="201">
                  <c:v>72.3592259561409</c:v>
                </c:pt>
                <c:pt idx="202">
                  <c:v>72.3413901163615</c:v>
                </c:pt>
                <c:pt idx="203">
                  <c:v>72.3156792869095</c:v>
                </c:pt>
                <c:pt idx="204">
                  <c:v>72.2820145762135</c:v>
                </c:pt>
                <c:pt idx="205">
                  <c:v>72.2403183621849</c:v>
                </c:pt>
                <c:pt idx="206">
                  <c:v>72.1905140788523</c:v>
                </c:pt>
                <c:pt idx="207">
                  <c:v>72.132526016236</c:v>
                </c:pt>
                <c:pt idx="208">
                  <c:v>72.0662791335309</c:v>
                </c:pt>
                <c:pt idx="209">
                  <c:v>71.9916988856397</c:v>
                </c:pt>
                <c:pt idx="210">
                  <c:v>71.908711063071</c:v>
                </c:pt>
                <c:pt idx="211">
                  <c:v>71.8172416451955</c:v>
                </c:pt>
                <c:pt idx="212">
                  <c:v>71.7172166668399</c:v>
                </c:pt>
                <c:pt idx="213">
                  <c:v>71.6085620981831</c:v>
                </c:pt>
                <c:pt idx="214">
                  <c:v>71.4912037379106</c:v>
                </c:pt>
                <c:pt idx="215">
                  <c:v>71.3650671195776</c:v>
                </c:pt>
                <c:pt idx="216">
                  <c:v>71.2300774311266</c:v>
                </c:pt>
                <c:pt idx="217">
                  <c:v>71.0861594475005</c:v>
                </c:pt>
                <c:pt idx="218">
                  <c:v>70.9332374762968</c:v>
                </c:pt>
                <c:pt idx="219">
                  <c:v>70.7712353164004</c:v>
                </c:pt>
                <c:pt idx="220">
                  <c:v>70.6000762295399</c:v>
                </c:pt>
                <c:pt idx="221">
                  <c:v>70.4196829247056</c:v>
                </c:pt>
                <c:pt idx="222">
                  <c:v>70.2299775553735</c:v>
                </c:pt>
                <c:pt idx="223">
                  <c:v>70.0308817294694</c:v>
                </c:pt>
                <c:pt idx="224">
                  <c:v>69.8223165320112</c:v>
                </c:pt>
                <c:pt idx="225">
                  <c:v>69.6042025603596</c:v>
                </c:pt>
                <c:pt idx="226">
                  <c:v>69.3764599719982</c:v>
                </c:pt>
                <c:pt idx="227">
                  <c:v>69.1390085447544</c:v>
                </c:pt>
                <c:pt idx="228">
                  <c:v>68.8917677493611</c:v>
                </c:pt>
                <c:pt idx="229">
                  <c:v>68.6346568342378</c:v>
                </c:pt>
                <c:pt idx="230">
                  <c:v>68.3675949223544</c:v>
                </c:pt>
                <c:pt idx="231">
                  <c:v>68.0905011200069</c:v>
                </c:pt>
                <c:pt idx="232">
                  <c:v>67.8032946373131</c:v>
                </c:pt>
                <c:pt idx="233">
                  <c:v>67.5058949201939</c:v>
                </c:pt>
                <c:pt idx="234">
                  <c:v>67.1982217935734</c:v>
                </c:pt>
                <c:pt idx="235">
                  <c:v>66.8801956154734</c:v>
                </c:pt>
                <c:pt idx="236">
                  <c:v>66.5517374416411</c:v>
                </c:pt>
                <c:pt idx="237">
                  <c:v>66.2127692002798</c:v>
                </c:pt>
                <c:pt idx="238">
                  <c:v>65.8632138763942</c:v>
                </c:pt>
                <c:pt idx="239">
                  <c:v>65.5029957051995</c:v>
                </c:pt>
                <c:pt idx="240">
                  <c:v>65.1320403739569</c:v>
                </c:pt>
                <c:pt idx="241">
                  <c:v>64.7502752315343</c:v>
                </c:pt>
                <c:pt idx="242">
                  <c:v>64.3576295048967</c:v>
                </c:pt>
                <c:pt idx="243">
                  <c:v>63.9540345216493</c:v>
                </c:pt>
                <c:pt idx="244">
                  <c:v>63.539423937665</c:v>
                </c:pt>
                <c:pt idx="245">
                  <c:v>63.1137339687347</c:v>
                </c:pt>
                <c:pt idx="246">
                  <c:v>62.6769036250819</c:v>
                </c:pt>
                <c:pt idx="247">
                  <c:v>62.2288749474978</c:v>
                </c:pt>
                <c:pt idx="248">
                  <c:v>61.7695932437471</c:v>
                </c:pt>
                <c:pt idx="249">
                  <c:v>61.299007323819</c:v>
                </c:pt>
                <c:pt idx="250">
                  <c:v>60.8170697324999</c:v>
                </c:pt>
                <c:pt idx="251">
                  <c:v>60.3237369776793</c:v>
                </c:pt>
                <c:pt idx="252">
                  <c:v>59.8189697527188</c:v>
                </c:pt>
                <c:pt idx="253">
                  <c:v>59.3027331511685</c:v>
                </c:pt>
                <c:pt idx="254">
                  <c:v>58.7749968720597</c:v>
                </c:pt>
                <c:pt idx="255">
                  <c:v>58.2357354139894</c:v>
                </c:pt>
                <c:pt idx="256">
                  <c:v>57.6849282561867</c:v>
                </c:pt>
                <c:pt idx="257">
                  <c:v>57.1225600247818</c:v>
                </c:pt>
                <c:pt idx="258">
                  <c:v>56.5486206425216</c:v>
                </c:pt>
                <c:pt idx="259">
                  <c:v>55.9631054602465</c:v>
                </c:pt>
                <c:pt idx="260">
                  <c:v>55.3660153685321</c:v>
                </c:pt>
                <c:pt idx="261">
                  <c:v>54.7573568880201</c:v>
                </c:pt>
                <c:pt idx="262">
                  <c:v>54.1371422371206</c:v>
                </c:pt>
                <c:pt idx="263">
                  <c:v>53.5053893759457</c:v>
                </c:pt>
                <c:pt idx="264">
                  <c:v>52.86212202556</c:v>
                </c:pt>
                <c:pt idx="265">
                  <c:v>52.2073696618804</c:v>
                </c:pt>
                <c:pt idx="266">
                  <c:v>51.5411674838397</c:v>
                </c:pt>
                <c:pt idx="267">
                  <c:v>50.8635563557427</c:v>
                </c:pt>
                <c:pt idx="268">
                  <c:v>50.1745827240767</c:v>
                </c:pt>
                <c:pt idx="269">
                  <c:v>49.4742985094049</c:v>
                </c:pt>
                <c:pt idx="270">
                  <c:v>48.7627609743498</c:v>
                </c:pt>
                <c:pt idx="271">
                  <c:v>48.0400325690593</c:v>
                </c:pt>
                <c:pt idx="272">
                  <c:v>47.3061807559594</c:v>
                </c:pt>
                <c:pt idx="273">
                  <c:v>46.5612778159858</c:v>
                </c:pt>
                <c:pt idx="274">
                  <c:v>45.8054006388818</c:v>
                </c:pt>
                <c:pt idx="275">
                  <c:v>45.0386305005209</c:v>
                </c:pt>
                <c:pt idx="276">
                  <c:v>44.2610528305638</c:v>
                </c:pt>
                <c:pt idx="277">
                  <c:v>43.4727569740655</c:v>
                </c:pt>
                <c:pt idx="278">
                  <c:v>42.673835950924</c:v>
                </c:pt>
                <c:pt idx="279">
                  <c:v>41.8643862172813</c:v>
                </c:pt>
                <c:pt idx="280">
                  <c:v>41.0445074331267</c:v>
                </c:pt>
                <c:pt idx="281">
                  <c:v>40.2143022404722</c:v>
                </c:pt>
                <c:pt idx="282">
                  <c:v>39.3738760564542</c:v>
                </c:pt>
                <c:pt idx="283">
                  <c:v>38.523336885676</c:v>
                </c:pt>
                <c:pt idx="284">
                  <c:v>37.6627951559458</c:v>
                </c:pt>
                <c:pt idx="285">
                  <c:v>36.7923635813514</c:v>
                </c:pt>
                <c:pt idx="286">
                  <c:v>35.9121570562941</c:v>
                </c:pt>
                <c:pt idx="287">
                  <c:v>35.0222925837191</c:v>
                </c:pt>
                <c:pt idx="288">
                  <c:v>34.1228892403181</c:v>
                </c:pt>
                <c:pt idx="289">
                  <c:v>33.2140681809433</c:v>
                </c:pt>
                <c:pt idx="290">
                  <c:v>32.2959526838903</c:v>
                </c:pt>
                <c:pt idx="291">
                  <c:v>31.3686682380572</c:v>
                </c:pt>
                <c:pt idx="292">
                  <c:v>30.4323426723185</c:v>
                </c:pt>
                <c:pt idx="293">
                  <c:v>29.4871063267579</c:v>
                </c:pt>
                <c:pt idx="294">
                  <c:v>28.5330922646736</c:v>
                </c:pt>
                <c:pt idx="295">
                  <c:v>27.5704365236054</c:v>
                </c:pt>
                <c:pt idx="296">
                  <c:v>26.5992784029093</c:v>
                </c:pt>
                <c:pt idx="297">
                  <c:v>25.6197607847885</c:v>
                </c:pt>
                <c:pt idx="298">
                  <c:v>24.6320304850837</c:v>
                </c:pt>
                <c:pt idx="299">
                  <c:v>23.6362386295766</c:v>
                </c:pt>
                <c:pt idx="300">
                  <c:v>22.6325410511169</c:v>
                </c:pt>
                <c:pt idx="301">
                  <c:v>21.6210987024807</c:v>
                </c:pt>
                <c:pt idx="302">
                  <c:v>20.6020780795894</c:v>
                </c:pt>
                <c:pt idx="303">
                  <c:v>19.5756516494961</c:v>
                </c:pt>
                <c:pt idx="304">
                  <c:v>18.5419982774574</c:v>
                </c:pt>
                <c:pt idx="305">
                  <c:v>17.5013036473791</c:v>
                </c:pt>
                <c:pt idx="306">
                  <c:v>16.453760670014</c:v>
                </c:pt>
                <c:pt idx="307">
                  <c:v>15.3995698734376</c:v>
                </c:pt>
                <c:pt idx="308">
                  <c:v>14.3389397705776</c:v>
                </c:pt>
                <c:pt idx="309">
                  <c:v>13.2720871988869</c:v>
                </c:pt>
                <c:pt idx="310">
                  <c:v>12.1992376276124</c:v>
                </c:pt>
                <c:pt idx="311">
                  <c:v>11.1206254285401</c:v>
                </c:pt>
                <c:pt idx="312">
                  <c:v>10.0364941065352</c:v>
                </c:pt>
                <c:pt idx="313">
                  <c:v>8.94709648670813</c:v>
                </c:pt>
                <c:pt idx="314">
                  <c:v>7.85269485549031</c:v>
                </c:pt>
                <c:pt idx="315">
                  <c:v>6.75356105344036</c:v>
                </c:pt>
                <c:pt idx="316">
                  <c:v>5.64997651804912</c:v>
                </c:pt>
                <c:pt idx="317">
                  <c:v>4.54223227532308</c:v>
                </c:pt>
                <c:pt idx="318">
                  <c:v>3.43062887934261</c:v>
                </c:pt>
                <c:pt idx="319">
                  <c:v>2.31547629942531</c:v>
                </c:pt>
                <c:pt idx="320">
                  <c:v>1.1970937549105</c:v>
                </c:pt>
                <c:pt idx="321">
                  <c:v>0.0758094979334357</c:v>
                </c:pt>
                <c:pt idx="322">
                  <c:v>-1.04803945513075</c:v>
                </c:pt>
                <c:pt idx="323">
                  <c:v>-2.17410764258516</c:v>
                </c:pt>
                <c:pt idx="324">
                  <c:v>-3.30204152546368</c:v>
                </c:pt>
                <c:pt idx="325">
                  <c:v>-4.43147990328607</c:v>
                </c:pt>
                <c:pt idx="326">
                  <c:v>-5.56205437585048</c:v>
                </c:pt>
                <c:pt idx="327">
                  <c:v>-6.69338984925325</c:v>
                </c:pt>
                <c:pt idx="328">
                  <c:v>-7.82510508411888</c:v>
                </c:pt>
                <c:pt idx="329">
                  <c:v>-8.95681328389329</c:v>
                </c:pt>
                <c:pt idx="330">
                  <c:v>-10.0881227208682</c:v>
                </c:pt>
                <c:pt idx="331">
                  <c:v>-11.2186373974872</c:v>
                </c:pt>
                <c:pt idx="332">
                  <c:v>-12.3479577402754</c:v>
                </c:pt>
                <c:pt idx="333">
                  <c:v>-13.475681323626</c:v>
                </c:pt>
                <c:pt idx="334">
                  <c:v>-14.6014036204652</c:v>
                </c:pt>
                <c:pt idx="335">
                  <c:v>-15.7247187766816</c:v>
                </c:pt>
                <c:pt idx="336">
                  <c:v>-16.8452204060024</c:v>
                </c:pt>
                <c:pt idx="337">
                  <c:v>-17.9625024018549</c:v>
                </c:pt>
                <c:pt idx="338">
                  <c:v>-19.0761597625482</c:v>
                </c:pt>
                <c:pt idx="339">
                  <c:v>-20.1857894259824</c:v>
                </c:pt>
                <c:pt idx="340">
                  <c:v>-21.2909911099095</c:v>
                </c:pt>
                <c:pt idx="341">
                  <c:v>-22.3913681536688</c:v>
                </c:pt>
                <c:pt idx="342">
                  <c:v>-23.4865283571812</c:v>
                </c:pt>
                <c:pt idx="343">
                  <c:v>-24.5760848129298</c:v>
                </c:pt>
                <c:pt idx="344">
                  <c:v>-25.6596567265943</c:v>
                </c:pt>
                <c:pt idx="345">
                  <c:v>-26.7368702220087</c:v>
                </c:pt>
                <c:pt idx="346">
                  <c:v>-27.8073591261194</c:v>
                </c:pt>
                <c:pt idx="347">
                  <c:v>-28.8707657297348</c:v>
                </c:pt>
                <c:pt idx="348">
                  <c:v>-29.9267415199397</c:v>
                </c:pt>
                <c:pt idx="349">
                  <c:v>-30.9749478802411</c:v>
                </c:pt>
                <c:pt idx="350">
                  <c:v>-32.0150567547143</c:v>
                </c:pt>
                <c:pt idx="351">
                  <c:v>-33.0467512726725</c:v>
                </c:pt>
                <c:pt idx="352">
                  <c:v>-34.0697263306873</c:v>
                </c:pt>
                <c:pt idx="353">
                  <c:v>-35.0836891291082</c:v>
                </c:pt>
                <c:pt idx="354">
                  <c:v>-36.0883596606086</c:v>
                </c:pt>
                <c:pt idx="355">
                  <c:v>-37.083471148664</c:v>
                </c:pt>
                <c:pt idx="356">
                  <c:v>-38.0687704342912</c:v>
                </c:pt>
                <c:pt idx="357">
                  <c:v>-39.0440183097911</c:v>
                </c:pt>
                <c:pt idx="358">
                  <c:v>-40.0089897986872</c:v>
                </c:pt>
                <c:pt idx="359">
                  <c:v>-40.9634743814659</c:v>
                </c:pt>
                <c:pt idx="360">
                  <c:v>-41.9072761671765</c:v>
                </c:pt>
                <c:pt idx="361">
                  <c:v>-42.8402140113401</c:v>
                </c:pt>
                <c:pt idx="362">
                  <c:v>-43.7621215810448</c:v>
                </c:pt>
                <c:pt idx="363">
                  <c:v>-44.6728473684495</c:v>
                </c:pt>
                <c:pt idx="364">
                  <c:v>-45.5722546543</c:v>
                </c:pt>
                <c:pt idx="365">
                  <c:v>-46.460221423356</c:v>
                </c:pt>
                <c:pt idx="366">
                  <c:v>-47.3366402339244</c:v>
                </c:pt>
                <c:pt idx="367">
                  <c:v>-48.2014180439456</c:v>
                </c:pt>
                <c:pt idx="368">
                  <c:v>-49.0544759962778</c:v>
                </c:pt>
                <c:pt idx="369">
                  <c:v>-49.8957491660192</c:v>
                </c:pt>
                <c:pt idx="370">
                  <c:v>-50.7251862728211</c:v>
                </c:pt>
                <c:pt idx="371">
                  <c:v>-51.5427493612648</c:v>
                </c:pt>
                <c:pt idx="372">
                  <c:v>-52.3484134524172</c:v>
                </c:pt>
                <c:pt idx="373">
                  <c:v>-53.1421661697271</c:v>
                </c:pt>
                <c:pt idx="374">
                  <c:v>-53.9240073424058</c:v>
                </c:pt>
                <c:pt idx="375">
                  <c:v>-54.693948589411</c:v>
                </c:pt>
                <c:pt idx="376">
                  <c:v>-55.4520128870833</c:v>
                </c:pt>
                <c:pt idx="377">
                  <c:v>-56.1982341234139</c:v>
                </c:pt>
                <c:pt idx="378">
                  <c:v>-56.9326566417984</c:v>
                </c:pt>
                <c:pt idx="379">
                  <c:v>-57.6553347770292</c:v>
                </c:pt>
                <c:pt idx="380">
                  <c:v>-58.3663323861195</c:v>
                </c:pt>
                <c:pt idx="381">
                  <c:v>-59.0657223764182</c:v>
                </c:pt>
                <c:pt idx="382">
                  <c:v>-59.7535862333098</c:v>
                </c:pt>
                <c:pt idx="383">
                  <c:v>-60.4300135496254</c:v>
                </c:pt>
                <c:pt idx="384">
                  <c:v>-61.095101558725</c:v>
                </c:pt>
                <c:pt idx="385">
                  <c:v>-61.7489546730424</c:v>
                </c:pt>
                <c:pt idx="386">
                  <c:v>-62.3916840297031</c:v>
                </c:pt>
                <c:pt idx="387">
                  <c:v>-63.0234070446725</c:v>
                </c:pt>
                <c:pt idx="388">
                  <c:v>-63.644246976712</c:v>
                </c:pt>
                <c:pt idx="389">
                  <c:v>-64.2543325022673</c:v>
                </c:pt>
                <c:pt idx="390">
                  <c:v>-64.8537973022623</c:v>
                </c:pt>
                <c:pt idx="391">
                  <c:v>-65.4427796616197</c:v>
                </c:pt>
                <c:pt idx="392">
                  <c:v>-66.0214220821921</c:v>
                </c:pt>
                <c:pt idx="393">
                  <c:v>-66.5898709096577</c:v>
                </c:pt>
                <c:pt idx="394">
                  <c:v>-67.148275974814</c:v>
                </c:pt>
                <c:pt idx="395">
                  <c:v>-67.6967902495847</c:v>
                </c:pt>
                <c:pt idx="396">
                  <c:v>-68.2355695179577</c:v>
                </c:pt>
                <c:pt idx="397">
                  <c:v>-68.7647720619697</c:v>
                </c:pt>
                <c:pt idx="398">
                  <c:v>-69.2845583627715</c:v>
                </c:pt>
                <c:pt idx="399">
                  <c:v>-69.7950908167291</c:v>
                </c:pt>
                <c:pt idx="400">
                  <c:v>-70.296533466442</c:v>
                </c:pt>
                <c:pt idx="401">
                  <c:v>-70.7890517465069</c:v>
                </c:pt>
                <c:pt idx="402">
                  <c:v>-71.2728122437867</c:v>
                </c:pt>
                <c:pt idx="403">
                  <c:v>-71.7479824719162</c:v>
                </c:pt>
                <c:pt idx="404">
                  <c:v>-72.2147306597172</c:v>
                </c:pt>
                <c:pt idx="405">
                  <c:v>-72.6732255531725</c:v>
                </c:pt>
                <c:pt idx="406">
                  <c:v>-73.123636230579</c:v>
                </c:pt>
                <c:pt idx="407">
                  <c:v>-73.566131930469</c:v>
                </c:pt>
                <c:pt idx="408">
                  <c:v>-74.0008818918827</c:v>
                </c:pt>
                <c:pt idx="409">
                  <c:v>-74.4280552065502</c:v>
                </c:pt>
                <c:pt idx="410">
                  <c:v>-74.8478206825375</c:v>
                </c:pt>
                <c:pt idx="411">
                  <c:v>-75.2603467189037</c:v>
                </c:pt>
                <c:pt idx="412">
                  <c:v>-75.6658011909124</c:v>
                </c:pt>
                <c:pt idx="413">
                  <c:v>-76.0643513453394</c:v>
                </c:pt>
                <c:pt idx="414">
                  <c:v>-76.4561637054261</c:v>
                </c:pt>
                <c:pt idx="415">
                  <c:v>-76.8414039850268</c:v>
                </c:pt>
                <c:pt idx="416">
                  <c:v>-77.2202370115054</c:v>
                </c:pt>
                <c:pt idx="417">
                  <c:v>-77.5928266569515</c:v>
                </c:pt>
                <c:pt idx="418">
                  <c:v>-77.9593357772845</c:v>
                </c:pt>
                <c:pt idx="419">
                  <c:v>-78.3199261588353</c:v>
                </c:pt>
                <c:pt idx="420">
                  <c:v>-78.6747584719994</c:v>
                </c:pt>
                <c:pt idx="421">
                  <c:v>-79.023992231574</c:v>
                </c:pt>
                <c:pt idx="422">
                  <c:v>-79.3677857633947</c:v>
                </c:pt>
                <c:pt idx="423">
                  <c:v>-79.7062961769141</c:v>
                </c:pt>
                <c:pt idx="424">
                  <c:v>-80.0396793433649</c:v>
                </c:pt>
                <c:pt idx="425">
                  <c:v>-80.3680898791731</c:v>
                </c:pt>
                <c:pt idx="426">
                  <c:v>-80.6916811342961</c:v>
                </c:pt>
                <c:pt idx="427">
                  <c:v>-81.0106051851745</c:v>
                </c:pt>
                <c:pt idx="428">
                  <c:v>-81.325012832003</c:v>
                </c:pt>
                <c:pt idx="429">
                  <c:v>-81.6350536000344</c:v>
                </c:pt>
                <c:pt idx="430">
                  <c:v>-81.9408757446469</c:v>
                </c:pt>
                <c:pt idx="431">
                  <c:v>-82.2426262599187</c:v>
                </c:pt>
                <c:pt idx="432">
                  <c:v>-82.540450890462</c:v>
                </c:pt>
                <c:pt idx="433">
                  <c:v>-82.8344941462849</c:v>
                </c:pt>
                <c:pt idx="434">
                  <c:v>-83.1248993204584</c:v>
                </c:pt>
                <c:pt idx="435">
                  <c:v>-83.4118085093797</c:v>
                </c:pt>
                <c:pt idx="436">
                  <c:v>-83.6953626354282</c:v>
                </c:pt>
                <c:pt idx="437">
                  <c:v>-83.9757014718292</c:v>
                </c:pt>
                <c:pt idx="438">
                  <c:v>-84.2529636695415</c:v>
                </c:pt>
                <c:pt idx="439">
                  <c:v>-84.5272867859994</c:v>
                </c:pt>
                <c:pt idx="440">
                  <c:v>-84.798807315547</c:v>
                </c:pt>
                <c:pt idx="441">
                  <c:v>-85.0676607214104</c:v>
                </c:pt>
                <c:pt idx="442">
                  <c:v>-85.3339814690611</c:v>
                </c:pt>
                <c:pt idx="443">
                  <c:v>-85.5979030608329</c:v>
                </c:pt>
                <c:pt idx="444">
                  <c:v>-85.8595580716565</c:v>
                </c:pt>
                <c:pt idx="445">
                  <c:v>-86.1190781857889</c:v>
                </c:pt>
                <c:pt idx="446">
                  <c:v>-86.3765942344146</c:v>
                </c:pt>
                <c:pt idx="447">
                  <c:v>-86.6322362340028</c:v>
                </c:pt>
                <c:pt idx="448">
                  <c:v>-86.8861334253109</c:v>
                </c:pt>
                <c:pt idx="449">
                  <c:v>-87.138414312926</c:v>
                </c:pt>
                <c:pt idx="450">
                  <c:v>-87.3892067052419</c:v>
                </c:pt>
                <c:pt idx="451">
                  <c:v>-87.6386377547719</c:v>
                </c:pt>
                <c:pt idx="452">
                  <c:v>-87.8868339986991</c:v>
                </c:pt>
                <c:pt idx="453">
                  <c:v>-88.1339213995705</c:v>
                </c:pt>
                <c:pt idx="454">
                  <c:v>-88.3800253860411</c:v>
                </c:pt>
                <c:pt idx="455">
                  <c:v>-88.625270893576</c:v>
                </c:pt>
                <c:pt idx="456">
                  <c:v>-88.8697824050209</c:v>
                </c:pt>
                <c:pt idx="457">
                  <c:v>-89.1136839909489</c:v>
                </c:pt>
                <c:pt idx="458">
                  <c:v>-89.3570993496954</c:v>
                </c:pt>
                <c:pt idx="459">
                  <c:v>-89.600151846988</c:v>
                </c:pt>
                <c:pt idx="460">
                  <c:v>-89.8429645550823</c:v>
                </c:pt>
                <c:pt idx="461">
                  <c:v>-90.0856602913084</c:v>
                </c:pt>
                <c:pt idx="462">
                  <c:v>-90.3283616559353</c:v>
                </c:pt>
                <c:pt idx="463">
                  <c:v>-90.5711910692552</c:v>
                </c:pt>
                <c:pt idx="464">
                  <c:v>-90.8142708077887</c:v>
                </c:pt>
                <c:pt idx="465">
                  <c:v>-91.0577230395076</c:v>
                </c:pt>
                <c:pt idx="466">
                  <c:v>-91.3016698579712</c:v>
                </c:pt>
                <c:pt idx="467">
                  <c:v>-91.5462333152626</c:v>
                </c:pt>
                <c:pt idx="468">
                  <c:v>-91.7915354536138</c:v>
                </c:pt>
                <c:pt idx="469">
                  <c:v>-92.0376983355974</c:v>
                </c:pt>
                <c:pt idx="470">
                  <c:v>-92.2848440727629</c:v>
                </c:pt>
                <c:pt idx="471">
                  <c:v>-92.5330948525833</c:v>
                </c:pt>
                <c:pt idx="472">
                  <c:v>-92.7825729635789</c:v>
                </c:pt>
                <c:pt idx="473">
                  <c:v>-93.0334008184719</c:v>
                </c:pt>
                <c:pt idx="474">
                  <c:v>-93.2857009752223</c:v>
                </c:pt>
                <c:pt idx="475">
                  <c:v>-93.5395961557869</c:v>
                </c:pt>
                <c:pt idx="476">
                  <c:v>-93.7952092624337</c:v>
                </c:pt>
                <c:pt idx="477">
                  <c:v>-94.0526633914388</c:v>
                </c:pt>
                <c:pt idx="478">
                  <c:v>-94.3120818439804</c:v>
                </c:pt>
                <c:pt idx="479">
                  <c:v>-94.5735881340381</c:v>
                </c:pt>
                <c:pt idx="480">
                  <c:v>-94.8373059930943</c:v>
                </c:pt>
                <c:pt idx="481">
                  <c:v>-95.1033593714249</c:v>
                </c:pt>
                <c:pt idx="482">
                  <c:v>-95.3718724357588</c:v>
                </c:pt>
                <c:pt idx="483">
                  <c:v>-95.6429695630689</c:v>
                </c:pt>
                <c:pt idx="484">
                  <c:v>-95.9167753302549</c:v>
                </c:pt>
                <c:pt idx="485">
                  <c:v>-96.1934144994593</c:v>
                </c:pt>
                <c:pt idx="486">
                  <c:v>-96.4730119987526</c:v>
                </c:pt>
                <c:pt idx="487">
                  <c:v>-96.755692897911</c:v>
                </c:pt>
                <c:pt idx="488">
                  <c:v>-97.0415823789949</c:v>
                </c:pt>
                <c:pt idx="489">
                  <c:v>-97.3308057014341</c:v>
                </c:pt>
                <c:pt idx="490">
                  <c:v>-97.6234881613054</c:v>
                </c:pt>
                <c:pt idx="491">
                  <c:v>-97.919755044485</c:v>
                </c:pt>
                <c:pt idx="492">
                  <c:v>-98.2197315733441</c:v>
                </c:pt>
                <c:pt idx="493">
                  <c:v>-98.5235428466494</c:v>
                </c:pt>
                <c:pt idx="494">
                  <c:v>-98.8313137723191</c:v>
                </c:pt>
                <c:pt idx="495">
                  <c:v>-99.1431689926809</c:v>
                </c:pt>
                <c:pt idx="496">
                  <c:v>-99.4592328018687</c:v>
                </c:pt>
                <c:pt idx="497">
                  <c:v>-99.7796290549921</c:v>
                </c:pt>
                <c:pt idx="498">
                  <c:v>-100.104481068709</c:v>
                </c:pt>
                <c:pt idx="499">
                  <c:v>-100.433911512827</c:v>
                </c:pt>
                <c:pt idx="500">
                  <c:v>-100.768042292571</c:v>
                </c:pt>
                <c:pt idx="501">
                  <c:v>-101.106994421138</c:v>
                </c:pt>
                <c:pt idx="502">
                  <c:v>-101.450887882185</c:v>
                </c:pt>
                <c:pt idx="503">
                  <c:v>-101.799841481902</c:v>
                </c:pt>
                <c:pt idx="504">
                  <c:v>-102.153972690316</c:v>
                </c:pt>
                <c:pt idx="505">
                  <c:v>-102.513397471521</c:v>
                </c:pt>
                <c:pt idx="506">
                  <c:v>-102.878230102518</c:v>
                </c:pt>
                <c:pt idx="507">
                  <c:v>-103.248582980398</c:v>
                </c:pt>
                <c:pt idx="508">
                  <c:v>-103.624566417613</c:v>
                </c:pt>
                <c:pt idx="509">
                  <c:v>-104.006288425137</c:v>
                </c:pt>
                <c:pt idx="510">
                  <c:v>-104.393854483344</c:v>
                </c:pt>
                <c:pt idx="511">
                  <c:v>-104.787367300479</c:v>
                </c:pt>
                <c:pt idx="512">
                  <c:v>-105.186926558676</c:v>
                </c:pt>
                <c:pt idx="513">
                  <c:v>-105.59262864751</c:v>
                </c:pt>
                <c:pt idx="514">
                  <c:v>-106.00456638515</c:v>
                </c:pt>
                <c:pt idx="515">
                  <c:v>-106.422828727289</c:v>
                </c:pt>
                <c:pt idx="516">
                  <c:v>-106.84750046405</c:v>
                </c:pt>
                <c:pt idx="517">
                  <c:v>-107.278661905236</c:v>
                </c:pt>
                <c:pt idx="518">
                  <c:v>-107.716388554331</c:v>
                </c:pt>
                <c:pt idx="519">
                  <c:v>-108.160750771821</c:v>
                </c:pt>
                <c:pt idx="520">
                  <c:v>-108.611813428494</c:v>
                </c:pt>
                <c:pt idx="521">
                  <c:v>-109.069635549513</c:v>
                </c:pt>
                <c:pt idx="522">
                  <c:v>-109.534269950215</c:v>
                </c:pt>
                <c:pt idx="523">
                  <c:v>-110.005762864699</c:v>
                </c:pt>
                <c:pt idx="524">
                  <c:v>-110.484153568447</c:v>
                </c:pt>
                <c:pt idx="525">
                  <c:v>-110.969473996363</c:v>
                </c:pt>
                <c:pt idx="526">
                  <c:v>-111.461748357783</c:v>
                </c:pt>
                <c:pt idx="527">
                  <c:v>-111.960992750176</c:v>
                </c:pt>
                <c:pt idx="528">
                  <c:v>-112.467214773425</c:v>
                </c:pt>
                <c:pt idx="529">
                  <c:v>-112.980413146735</c:v>
                </c:pt>
                <c:pt idx="530">
                  <c:v>-113.500577330392</c:v>
                </c:pt>
                <c:pt idx="531">
                  <c:v>-114.027687154756</c:v>
                </c:pt>
                <c:pt idx="532">
                  <c:v>-114.561712459025</c:v>
                </c:pt>
                <c:pt idx="533">
                  <c:v>-115.102612742446</c:v>
                </c:pt>
                <c:pt idx="534">
                  <c:v>-115.650336830791</c:v>
                </c:pt>
                <c:pt idx="535">
                  <c:v>-116.204822561037</c:v>
                </c:pt>
                <c:pt idx="536">
                  <c:v>-116.765996487265</c:v>
                </c:pt>
                <c:pt idx="537">
                  <c:v>-117.333773610899</c:v>
                </c:pt>
                <c:pt idx="538">
                  <c:v>-117.908057138429</c:v>
                </c:pt>
                <c:pt idx="539">
                  <c:v>-118.488738269813</c:v>
                </c:pt>
                <c:pt idx="540">
                  <c:v>-119.075696020705</c:v>
                </c:pt>
                <c:pt idx="541">
                  <c:v>-119.668797081657</c:v>
                </c:pt>
              </c:numCache>
            </c:numRef>
          </c:yVal>
          <c:smooth val="1"/>
        </c:ser>
        <c:dLbls>
          <c:showLegendKey val="0"/>
          <c:showVal val="0"/>
          <c:showCatName val="0"/>
          <c:showSerName val="0"/>
          <c:showPercent val="0"/>
          <c:showBubbleSize val="0"/>
        </c:dLbls>
        <c:axId val="178971776"/>
        <c:axId val="178961792"/>
      </c:scatterChart>
      <c:valAx>
        <c:axId val="178953600"/>
        <c:scaling>
          <c:logBase val="10"/>
          <c:orientation val="minMax"/>
          <c:max val="2200000"/>
          <c:min val="10"/>
        </c:scaling>
        <c:delete val="0"/>
        <c:axPos val="b"/>
        <c:minorGridlines/>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Frequency</a:t>
                </a:r>
                <a:r>
                  <a:rPr lang="en-US" baseline="0"/>
                  <a:t> (Hz)</a:t>
                </a:r>
                <a:endParaRPr lang="en-US"/>
              </a:p>
            </c:rich>
          </c:tx>
          <c:layout/>
          <c:overlay val="0"/>
        </c:title>
        <c:numFmt formatCode="0" sourceLinked="0"/>
        <c:majorTickMark val="out"/>
        <c:minorTickMark val="none"/>
        <c:tickLblPos val="low"/>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959872"/>
        <c:crosses val="autoZero"/>
        <c:crossBetween val="midCat"/>
      </c:valAx>
      <c:valAx>
        <c:axId val="178959872"/>
        <c:scaling>
          <c:orientation val="minMax"/>
          <c:max val="40"/>
          <c:min val="-40"/>
        </c:scaling>
        <c:delete val="0"/>
        <c:axPos val="l"/>
        <c:majorGridlines/>
        <c:minorGridlines/>
        <c:title>
          <c:tx>
            <c:rich>
              <a:bodyPr rot="-540000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solidFill>
                      <a:srgbClr val="FF0000"/>
                    </a:solidFill>
                  </a:rPr>
                  <a:t>Gain</a:t>
                </a:r>
                <a:r>
                  <a:rPr lang="en-US" baseline="0">
                    <a:solidFill>
                      <a:srgbClr val="FF0000"/>
                    </a:solidFill>
                  </a:rPr>
                  <a:t> (dB)</a:t>
                </a:r>
                <a:endParaRPr lang="en-US">
                  <a:solidFill>
                    <a:srgbClr val="FF0000"/>
                  </a:solidFill>
                </a:endParaRPr>
              </a:p>
            </c:rich>
          </c:tx>
          <c:layout/>
          <c:overlay val="0"/>
        </c:title>
        <c:numFmt formatCode="General" sourceLinked="0"/>
        <c:majorTickMark val="out"/>
        <c:minorTickMark val="none"/>
        <c:tickLblPos val="nextTo"/>
        <c:txPr>
          <a:bodyPr rot="-60000000" spcFirstLastPara="0" vertOverflow="ellipsis" vert="horz" wrap="square" anchor="ctr" anchorCtr="1"/>
          <a:lstStyle/>
          <a:p>
            <a:pPr>
              <a:defRPr lang="pl-PL" sz="1000" b="0" i="0" u="none" strike="noStrike" kern="1200" baseline="0">
                <a:solidFill>
                  <a:srgbClr val="FF0000"/>
                </a:solidFill>
                <a:latin typeface="+mn-lt"/>
                <a:ea typeface="+mn-ea"/>
                <a:cs typeface="+mn-cs"/>
              </a:defRPr>
            </a:pPr>
          </a:p>
        </c:txPr>
        <c:crossAx val="178953600"/>
        <c:crosses val="autoZero"/>
        <c:crossBetween val="midCat"/>
        <c:majorUnit val="20"/>
        <c:minorUnit val="10"/>
      </c:valAx>
      <c:valAx>
        <c:axId val="178971776"/>
        <c:scaling>
          <c:logBase val="10"/>
          <c:orientation val="minMax"/>
        </c:scaling>
        <c:delete val="1"/>
        <c:axPos val="b"/>
        <c:numFmt formatCode="0.00"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961792"/>
        <c:crosses val="autoZero"/>
        <c:crossBetween val="midCat"/>
      </c:valAx>
      <c:valAx>
        <c:axId val="178961792"/>
        <c:scaling>
          <c:orientation val="minMax"/>
          <c:max val="180"/>
          <c:min val="-180"/>
        </c:scaling>
        <c:delete val="0"/>
        <c:axPos val="r"/>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lumMod val="95000"/>
                    <a:lumOff val="5000"/>
                  </a:schemeClr>
                </a:solidFill>
                <a:latin typeface="+mn-lt"/>
                <a:ea typeface="+mn-ea"/>
                <a:cs typeface="+mn-cs"/>
              </a:defRPr>
            </a:pPr>
          </a:p>
        </c:txPr>
        <c:crossAx val="178971776"/>
        <c:crosses val="max"/>
        <c:crossBetween val="midCat"/>
        <c:majorUnit val="90"/>
        <c:minorUnit val="45"/>
      </c:valAx>
    </c:plotArea>
    <c:plotVisOnly val="1"/>
    <c:dispBlanksAs val="gap"/>
    <c:showDLblsOverMax val="0"/>
    <c:extLst>
      <c:ext uri="{0b15fc19-7d7d-44ad-8c2d-2c3a37ce22c3}">
        <chartProps xmlns="https://web.wps.cn/et/2018/main" chartId="{d8376ad8-9511-453a-95bc-415188ceb85e}"/>
      </c:ext>
    </c:extLst>
  </c:chart>
  <c:txPr>
    <a:bodyPr/>
    <a:lstStyle/>
    <a:p>
      <a:pPr>
        <a:defRPr lang="pl-PL"/>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lgn="l">
              <a:defRPr lang="pl-PL" sz="2400" b="1" i="0" u="none" strike="noStrike" kern="1200" baseline="0">
                <a:solidFill>
                  <a:schemeClr val="tx1"/>
                </a:solidFill>
                <a:latin typeface="+mn-lt"/>
                <a:ea typeface="+mn-ea"/>
                <a:cs typeface="+mn-cs"/>
              </a:defRPr>
            </a:pPr>
            <a:r>
              <a:rPr lang="el-GR" sz="2400"/>
              <a:t>η</a:t>
            </a:r>
            <a:endParaRPr lang="en-US" sz="2400"/>
          </a:p>
        </c:rich>
      </c:tx>
      <c:layout>
        <c:manualLayout>
          <c:xMode val="edge"/>
          <c:yMode val="edge"/>
          <c:x val="0.0923218382951588"/>
          <c:y val="0.00670690811535882"/>
        </c:manualLayout>
      </c:layout>
      <c:overlay val="1"/>
    </c:title>
    <c:autoTitleDeleted val="0"/>
    <c:plotArea>
      <c:layout>
        <c:manualLayout>
          <c:layoutTarget val="inner"/>
          <c:xMode val="edge"/>
          <c:yMode val="edge"/>
          <c:x val="0.0943435758165804"/>
          <c:y val="0.127775049245605"/>
          <c:w val="0.821706919227287"/>
          <c:h val="0.749827708676531"/>
        </c:manualLayout>
      </c:layout>
      <c:scatterChart>
        <c:scatterStyle val="smooth"/>
        <c:varyColors val="0"/>
        <c:ser>
          <c:idx val="0"/>
          <c:order val="0"/>
          <c:tx>
            <c:strRef>
              <c:f>"Eff"</c:f>
              <c:strCache>
                <c:ptCount val="1"/>
                <c:pt idx="0">
                  <c:v>Eff</c:v>
                </c:pt>
              </c:strCache>
            </c:strRef>
          </c:tx>
          <c:spPr>
            <a:ln w="28575" cap="rnd" cmpd="sng" algn="ctr">
              <a:solidFill>
                <a:srgbClr val="FF0000"/>
              </a:solidFill>
              <a:prstDash val="solid"/>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Eff_vs_IOUT!$AT$7:$AT$157</c:f>
              <c:numCache>
                <c:formatCode>General</c:formatCode>
                <c:ptCount val="151"/>
                <c:pt idx="0">
                  <c:v>0</c:v>
                </c:pt>
                <c:pt idx="1">
                  <c:v>49.730312715273</c:v>
                </c:pt>
                <c:pt idx="2">
                  <c:v>65.8460678252945</c:v>
                </c:pt>
                <c:pt idx="3">
                  <c:v>73.7833005151075</c:v>
                </c:pt>
                <c:pt idx="4">
                  <c:v>78.7014450021683</c:v>
                </c:pt>
                <c:pt idx="5">
                  <c:v>81.8727337029403</c:v>
                </c:pt>
                <c:pt idx="6">
                  <c:v>84.1287768719601</c:v>
                </c:pt>
                <c:pt idx="7">
                  <c:v>85.8142702740571</c:v>
                </c:pt>
                <c:pt idx="8">
                  <c:v>87.1201259662472</c:v>
                </c:pt>
                <c:pt idx="9">
                  <c:v>88.1606285728306</c:v>
                </c:pt>
                <c:pt idx="10">
                  <c:v>89.0083747918034</c:v>
                </c:pt>
                <c:pt idx="11">
                  <c:v>89.7116931132123</c:v>
                </c:pt>
                <c:pt idx="12">
                  <c:v>90.3040024166113</c:v>
                </c:pt>
                <c:pt idx="13">
                  <c:v>90.8091498987654</c:v>
                </c:pt>
                <c:pt idx="14">
                  <c:v>91.2446089408246</c:v>
                </c:pt>
                <c:pt idx="15">
                  <c:v>91.6234752011929</c:v>
                </c:pt>
                <c:pt idx="16">
                  <c:v>91.9557567819312</c:v>
                </c:pt>
                <c:pt idx="17">
                  <c:v>92.2492335193325</c:v>
                </c:pt>
                <c:pt idx="18">
                  <c:v>92.5100444292433</c:v>
                </c:pt>
                <c:pt idx="19">
                  <c:v>92.7430986162862</c:v>
                </c:pt>
                <c:pt idx="20">
                  <c:v>92.9523685885396</c:v>
                </c:pt>
                <c:pt idx="21">
                  <c:v>93.1411034524972</c:v>
                </c:pt>
                <c:pt idx="22">
                  <c:v>93.3119864089571</c:v>
                </c:pt>
                <c:pt idx="23">
                  <c:v>93.4672528186342</c:v>
                </c:pt>
                <c:pt idx="24">
                  <c:v>93.6087798931287</c:v>
                </c:pt>
                <c:pt idx="25">
                  <c:v>93.7381556606606</c:v>
                </c:pt>
                <c:pt idx="26">
                  <c:v>93.8567325866079</c:v>
                </c:pt>
                <c:pt idx="27">
                  <c:v>93.9656696898488</c:v>
                </c:pt>
                <c:pt idx="28">
                  <c:v>94.0659659350686</c:v>
                </c:pt>
                <c:pt idx="29">
                  <c:v>94.1584869389665</c:v>
                </c:pt>
                <c:pt idx="30">
                  <c:v>94.2439865017993</c:v>
                </c:pt>
                <c:pt idx="31">
                  <c:v>94.3231240974318</c:v>
                </c:pt>
                <c:pt idx="32">
                  <c:v>94.3964791800727</c:v>
                </c:pt>
                <c:pt idx="33">
                  <c:v>94.4645629637442</c:v>
                </c:pt>
                <c:pt idx="34">
                  <c:v>94.5278281804355</c:v>
                </c:pt>
                <c:pt idx="35">
                  <c:v>94.5866772103473</c:v>
                </c:pt>
                <c:pt idx="36">
                  <c:v>94.6414688924962</c:v>
                </c:pt>
                <c:pt idx="37">
                  <c:v>94.6925242589893</c:v>
                </c:pt>
                <c:pt idx="38">
                  <c:v>94.7401313863273</c:v>
                </c:pt>
                <c:pt idx="39">
                  <c:v>94.7845495183882</c:v>
                </c:pt>
                <c:pt idx="40">
                  <c:v>94.8260125855422</c:v>
                </c:pt>
                <c:pt idx="41">
                  <c:v>94.8647322206261</c:v>
                </c:pt>
                <c:pt idx="42">
                  <c:v>94.9009003537474</c:v>
                </c:pt>
                <c:pt idx="43">
                  <c:v>94.934691452977</c:v>
                </c:pt>
                <c:pt idx="44">
                  <c:v>94.9662644660539</c:v>
                </c:pt>
                <c:pt idx="45">
                  <c:v>94.9957645086358</c:v>
                </c:pt>
                <c:pt idx="46">
                  <c:v>95.0233243368716</c:v>
                </c:pt>
                <c:pt idx="47">
                  <c:v>95.0490656357696</c:v>
                </c:pt>
                <c:pt idx="48">
                  <c:v>95.0731001496967</c:v>
                </c:pt>
                <c:pt idx="49">
                  <c:v>95.095530677125</c:v>
                </c:pt>
                <c:pt idx="50">
                  <c:v>95.1164519482699</c:v>
                </c:pt>
                <c:pt idx="51">
                  <c:v>95.1359514013956</c:v>
                </c:pt>
                <c:pt idx="52">
                  <c:v>95.1541098711809</c:v>
                </c:pt>
                <c:pt idx="53">
                  <c:v>95.17100220055</c:v>
                </c:pt>
                <c:pt idx="54">
                  <c:v>95.1866977857181</c:v>
                </c:pt>
                <c:pt idx="55">
                  <c:v>95.2012610628019</c:v>
                </c:pt>
                <c:pt idx="56">
                  <c:v>95.2147519431782</c:v>
                </c:pt>
                <c:pt idx="57">
                  <c:v>95.2272262037786</c:v>
                </c:pt>
                <c:pt idx="58">
                  <c:v>95.2387358376696</c:v>
                </c:pt>
                <c:pt idx="59">
                  <c:v>95.2493293695555</c:v>
                </c:pt>
                <c:pt idx="60">
                  <c:v>95.25905214023</c:v>
                </c:pt>
                <c:pt idx="61">
                  <c:v>95.2679465634855</c:v>
                </c:pt>
                <c:pt idx="62">
                  <c:v>95.2760523585412</c:v>
                </c:pt>
                <c:pt idx="63">
                  <c:v>95.28340676067</c:v>
                </c:pt>
                <c:pt idx="64">
                  <c:v>95.2900447123714</c:v>
                </c:pt>
                <c:pt idx="65">
                  <c:v>95.2959990371579</c:v>
                </c:pt>
                <c:pt idx="66">
                  <c:v>95.3013005977683</c:v>
                </c:pt>
                <c:pt idx="67">
                  <c:v>95.3059784404159</c:v>
                </c:pt>
                <c:pt idx="68">
                  <c:v>95.3100599264861</c:v>
                </c:pt>
                <c:pt idx="69">
                  <c:v>95.31357085294</c:v>
                </c:pt>
                <c:pt idx="70">
                  <c:v>95.3165355625389</c:v>
                </c:pt>
                <c:pt idx="71">
                  <c:v>95.3189770448784</c:v>
                </c:pt>
                <c:pt idx="72">
                  <c:v>95.3209170291145</c:v>
                </c:pt>
                <c:pt idx="73">
                  <c:v>95.3223760691683</c:v>
                </c:pt>
                <c:pt idx="74">
                  <c:v>95.3233736221107</c:v>
                </c:pt>
                <c:pt idx="75">
                  <c:v>95.3239281203565</c:v>
                </c:pt>
                <c:pt idx="76">
                  <c:v>95.3240570382298</c:v>
                </c:pt>
                <c:pt idx="77">
                  <c:v>95.3237769534079</c:v>
                </c:pt>
                <c:pt idx="78">
                  <c:v>95.3231036036951</c:v>
                </c:pt>
                <c:pt idx="79">
                  <c:v>95.3220519395378</c:v>
                </c:pt>
                <c:pt idx="80">
                  <c:v>95.3206361726473</c:v>
                </c:pt>
                <c:pt idx="81">
                  <c:v>95.318869821064</c:v>
                </c:pt>
                <c:pt idx="82">
                  <c:v>95.3167657509614</c:v>
                </c:pt>
                <c:pt idx="83">
                  <c:v>95.3143362154643</c:v>
                </c:pt>
                <c:pt idx="84">
                  <c:v>95.3115928907249</c:v>
                </c:pt>
                <c:pt idx="85">
                  <c:v>95.3085469094813</c:v>
                </c:pt>
                <c:pt idx="86">
                  <c:v>95.3052088923002</c:v>
                </c:pt>
                <c:pt idx="87">
                  <c:v>95.3015889766897</c:v>
                </c:pt>
                <c:pt idx="88">
                  <c:v>95.2976968442472</c:v>
                </c:pt>
                <c:pt idx="89">
                  <c:v>95.2935417459981</c:v>
                </c:pt>
                <c:pt idx="90">
                  <c:v>95.2891325260622</c:v>
                </c:pt>
                <c:pt idx="91">
                  <c:v>95.284477643777</c:v>
                </c:pt>
                <c:pt idx="92">
                  <c:v>95.2795851943919</c:v>
                </c:pt>
                <c:pt idx="93">
                  <c:v>95.2744629284423</c:v>
                </c:pt>
                <c:pt idx="94">
                  <c:v>95.269118269899</c:v>
                </c:pt>
                <c:pt idx="95">
                  <c:v>95.2635583331828</c:v>
                </c:pt>
                <c:pt idx="96">
                  <c:v>95.2577899391263</c:v>
                </c:pt>
                <c:pt idx="97">
                  <c:v>95.2518196299587</c:v>
                </c:pt>
                <c:pt idx="98">
                  <c:v>95.2456536833811</c:v>
                </c:pt>
                <c:pt idx="99">
                  <c:v>95.2392981257977</c:v>
                </c:pt>
                <c:pt idx="100">
                  <c:v>95.2327587447607</c:v>
                </c:pt>
                <c:pt idx="101">
                  <c:v>95.2260411006828</c:v>
                </c:pt>
                <c:pt idx="102">
                  <c:v>95.2191505378666</c:v>
                </c:pt>
                <c:pt idx="103">
                  <c:v>95.2120921948987</c:v>
                </c:pt>
                <c:pt idx="104">
                  <c:v>95.2048710144485</c:v>
                </c:pt>
                <c:pt idx="105">
                  <c:v>95.197491752513</c:v>
                </c:pt>
                <c:pt idx="106">
                  <c:v>95.1899589871424</c:v>
                </c:pt>
                <c:pt idx="107">
                  <c:v>95.1822771266812</c:v>
                </c:pt>
                <c:pt idx="108">
                  <c:v>95.1744504175552</c:v>
                </c:pt>
                <c:pt idx="109">
                  <c:v>95.1664829516344</c:v>
                </c:pt>
                <c:pt idx="110">
                  <c:v>95.1583786731963</c:v>
                </c:pt>
                <c:pt idx="111">
                  <c:v>95.1501413855176</c:v>
                </c:pt>
                <c:pt idx="112">
                  <c:v>95.1417747571152</c:v>
                </c:pt>
                <c:pt idx="113">
                  <c:v>95.1332823276579</c:v>
                </c:pt>
                <c:pt idx="114">
                  <c:v>95.124667513571</c:v>
                </c:pt>
                <c:pt idx="115">
                  <c:v>95.1159336133497</c:v>
                </c:pt>
                <c:pt idx="116">
                  <c:v>95.1070838126004</c:v>
                </c:pt>
                <c:pt idx="117">
                  <c:v>95.098121188826</c:v>
                </c:pt>
                <c:pt idx="118">
                  <c:v>95.0890487159689</c:v>
                </c:pt>
                <c:pt idx="119">
                  <c:v>95.0798692687276</c:v>
                </c:pt>
                <c:pt idx="120">
                  <c:v>95.070585626659</c:v>
                </c:pt>
                <c:pt idx="121">
                  <c:v>95.0612004780787</c:v>
                </c:pt>
                <c:pt idx="122">
                  <c:v>95.0517164237708</c:v>
                </c:pt>
                <c:pt idx="123">
                  <c:v>95.0421359805191</c:v>
                </c:pt>
                <c:pt idx="124">
                  <c:v>95.0324615844676</c:v>
                </c:pt>
                <c:pt idx="125">
                  <c:v>95.0226955943216</c:v>
                </c:pt>
                <c:pt idx="126">
                  <c:v>95.0128402943971</c:v>
                </c:pt>
                <c:pt idx="127">
                  <c:v>95.002897897528</c:v>
                </c:pt>
                <c:pt idx="128">
                  <c:v>94.9928705478371</c:v>
                </c:pt>
                <c:pt idx="129">
                  <c:v>94.9827603233796</c:v>
                </c:pt>
                <c:pt idx="130">
                  <c:v>94.9725692386657</c:v>
                </c:pt>
                <c:pt idx="131">
                  <c:v>94.9622992470682</c:v>
                </c:pt>
                <c:pt idx="132">
                  <c:v>94.9519522431216</c:v>
                </c:pt>
                <c:pt idx="133">
                  <c:v>94.941530064718</c:v>
                </c:pt>
                <c:pt idx="134">
                  <c:v>94.9310344952056</c:v>
                </c:pt>
                <c:pt idx="135">
                  <c:v>94.920467265395</c:v>
                </c:pt>
                <c:pt idx="136">
                  <c:v>94.9098300554766</c:v>
                </c:pt>
                <c:pt idx="137">
                  <c:v>94.8991244968552</c:v>
                </c:pt>
                <c:pt idx="138">
                  <c:v>94.888352173906</c:v>
                </c:pt>
                <c:pt idx="139">
                  <c:v>94.8775146256538</c:v>
                </c:pt>
                <c:pt idx="140">
                  <c:v>94.8666133473824</c:v>
                </c:pt>
                <c:pt idx="141">
                  <c:v>94.8556497921749</c:v>
                </c:pt>
                <c:pt idx="142">
                  <c:v>94.8446253723894</c:v>
                </c:pt>
                <c:pt idx="143">
                  <c:v>94.8335414610738</c:v>
                </c:pt>
                <c:pt idx="144">
                  <c:v>94.8223993933217</c:v>
                </c:pt>
                <c:pt idx="145">
                  <c:v>94.8112004675725</c:v>
                </c:pt>
                <c:pt idx="146">
                  <c:v>94.7999459468583</c:v>
                </c:pt>
                <c:pt idx="147">
                  <c:v>94.7886370600005</c:v>
                </c:pt>
                <c:pt idx="148">
                  <c:v>94.7772750027586</c:v>
                </c:pt>
                <c:pt idx="149">
                  <c:v>94.7658609389317</c:v>
                </c:pt>
                <c:pt idx="150">
                  <c:v>94.7543960014179</c:v>
                </c:pt>
              </c:numCache>
            </c:numRef>
          </c:yVal>
          <c:smooth val="0"/>
        </c:ser>
        <c:dLbls>
          <c:showLegendKey val="0"/>
          <c:showVal val="0"/>
          <c:showCatName val="0"/>
          <c:showSerName val="0"/>
          <c:showPercent val="0"/>
          <c:showBubbleSize val="0"/>
        </c:dLbls>
        <c:axId val="178605056"/>
        <c:axId val="178615040"/>
      </c:scatterChart>
      <c:scatterChart>
        <c:scatterStyle val="smooth"/>
        <c:varyColors val="0"/>
        <c:ser>
          <c:idx val="1"/>
          <c:order val="1"/>
          <c:tx>
            <c:strRef>
              <c:f>"MOSFET"</c:f>
              <c:strCache>
                <c:ptCount val="1"/>
                <c:pt idx="0">
                  <c:v>MOSFET</c:v>
                </c:pt>
              </c:strCache>
            </c:strRef>
          </c:tx>
          <c:spPr>
            <a:ln w="28575" cap="rnd" cmpd="sng" algn="ctr">
              <a:solidFill>
                <a:schemeClr val="tx2">
                  <a:lumMod val="75000"/>
                </a:schemeClr>
              </a:solidFill>
              <a:prstDash val="dashDot"/>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Eff_vs_IOUT!$AI$7:$AI$157</c:f>
              <c:numCache>
                <c:formatCode>General</c:formatCode>
                <c:ptCount val="151"/>
                <c:pt idx="0">
                  <c:v>0</c:v>
                </c:pt>
                <c:pt idx="1">
                  <c:v>-0.00148904155505086</c:v>
                </c:pt>
                <c:pt idx="2">
                  <c:v>-0.00284052198414943</c:v>
                </c:pt>
                <c:pt idx="3">
                  <c:v>-0.00405856214831163</c:v>
                </c:pt>
                <c:pt idx="4">
                  <c:v>-0.00606680835828659</c:v>
                </c:pt>
                <c:pt idx="5">
                  <c:v>-0.00754964688117306</c:v>
                </c:pt>
                <c:pt idx="6">
                  <c:v>-0.00900991595961509</c:v>
                </c:pt>
                <c:pt idx="7">
                  <c:v>-0.0104476155936127</c:v>
                </c:pt>
                <c:pt idx="8">
                  <c:v>-0.0118627457831658</c:v>
                </c:pt>
                <c:pt idx="9">
                  <c:v>-0.0132553065282745</c:v>
                </c:pt>
                <c:pt idx="10">
                  <c:v>-0.0146252978289387</c:v>
                </c:pt>
                <c:pt idx="11">
                  <c:v>-0.0159727196851586</c:v>
                </c:pt>
                <c:pt idx="12">
                  <c:v>-0.0172975720969339</c:v>
                </c:pt>
                <c:pt idx="13">
                  <c:v>-0.0185998550642648</c:v>
                </c:pt>
                <c:pt idx="14">
                  <c:v>-0.0198795685871513</c:v>
                </c:pt>
                <c:pt idx="15">
                  <c:v>-0.0211367126655933</c:v>
                </c:pt>
                <c:pt idx="16">
                  <c:v>-0.0223712872995909</c:v>
                </c:pt>
                <c:pt idx="17">
                  <c:v>-0.023583292489144</c:v>
                </c:pt>
                <c:pt idx="18">
                  <c:v>-0.0247727282342527</c:v>
                </c:pt>
                <c:pt idx="19">
                  <c:v>-0.025939594534917</c:v>
                </c:pt>
                <c:pt idx="20">
                  <c:v>-0.0270838913911368</c:v>
                </c:pt>
                <c:pt idx="21">
                  <c:v>-0.0282056188029121</c:v>
                </c:pt>
                <c:pt idx="22">
                  <c:v>-0.0293047767702431</c:v>
                </c:pt>
                <c:pt idx="23">
                  <c:v>-0.0303813652931295</c:v>
                </c:pt>
                <c:pt idx="24">
                  <c:v>-0.0314353843715715</c:v>
                </c:pt>
                <c:pt idx="25">
                  <c:v>-0.0324668340055691</c:v>
                </c:pt>
                <c:pt idx="26">
                  <c:v>-0.0334757141951223</c:v>
                </c:pt>
                <c:pt idx="27">
                  <c:v>-0.034462024940231</c:v>
                </c:pt>
                <c:pt idx="28">
                  <c:v>-0.0354257662408952</c:v>
                </c:pt>
                <c:pt idx="29">
                  <c:v>-0.036366938097115</c:v>
                </c:pt>
                <c:pt idx="30">
                  <c:v>-0.0372855405088904</c:v>
                </c:pt>
                <c:pt idx="31">
                  <c:v>-0.0381815734762213</c:v>
                </c:pt>
                <c:pt idx="32">
                  <c:v>-0.0390550369991078</c:v>
                </c:pt>
                <c:pt idx="33">
                  <c:v>-0.0399059310775498</c:v>
                </c:pt>
                <c:pt idx="34">
                  <c:v>-0.0407342557115474</c:v>
                </c:pt>
                <c:pt idx="35">
                  <c:v>-0.0415400109011005</c:v>
                </c:pt>
                <c:pt idx="36">
                  <c:v>-0.0423231966462092</c:v>
                </c:pt>
                <c:pt idx="37">
                  <c:v>-0.0430838129468735</c:v>
                </c:pt>
                <c:pt idx="38">
                  <c:v>-0.0438218598030933</c:v>
                </c:pt>
                <c:pt idx="39">
                  <c:v>-0.0445373372148686</c:v>
                </c:pt>
                <c:pt idx="40">
                  <c:v>-0.0452302451821995</c:v>
                </c:pt>
                <c:pt idx="41">
                  <c:v>-0.045900583705086</c:v>
                </c:pt>
                <c:pt idx="42">
                  <c:v>-0.046548352783528</c:v>
                </c:pt>
                <c:pt idx="43">
                  <c:v>-0.0471735524175256</c:v>
                </c:pt>
                <c:pt idx="44">
                  <c:v>-0.0477761826070787</c:v>
                </c:pt>
                <c:pt idx="45">
                  <c:v>-0.0483562433521874</c:v>
                </c:pt>
                <c:pt idx="46">
                  <c:v>-0.0489137346528517</c:v>
                </c:pt>
                <c:pt idx="47">
                  <c:v>-0.0494486565090715</c:v>
                </c:pt>
                <c:pt idx="48">
                  <c:v>-0.0499610089208468</c:v>
                </c:pt>
                <c:pt idx="49">
                  <c:v>-0.0504507918881778</c:v>
                </c:pt>
                <c:pt idx="50">
                  <c:v>-0.0509180054110643</c:v>
                </c:pt>
                <c:pt idx="51">
                  <c:v>-0.0513626494895063</c:v>
                </c:pt>
                <c:pt idx="52">
                  <c:v>-0.0517847241235039</c:v>
                </c:pt>
                <c:pt idx="53">
                  <c:v>-0.052184229313057</c:v>
                </c:pt>
                <c:pt idx="54">
                  <c:v>-0.0525611650581657</c:v>
                </c:pt>
                <c:pt idx="55">
                  <c:v>-0.0529155313588299</c:v>
                </c:pt>
                <c:pt idx="56">
                  <c:v>-0.0532473282150497</c:v>
                </c:pt>
                <c:pt idx="57">
                  <c:v>-0.0535565556268251</c:v>
                </c:pt>
                <c:pt idx="58">
                  <c:v>-0.053843213594156</c:v>
                </c:pt>
                <c:pt idx="59">
                  <c:v>-0.0541073021170425</c:v>
                </c:pt>
                <c:pt idx="60">
                  <c:v>-0.0543488211954845</c:v>
                </c:pt>
                <c:pt idx="61">
                  <c:v>-0.0545677708294821</c:v>
                </c:pt>
                <c:pt idx="62">
                  <c:v>-0.0547641510190352</c:v>
                </c:pt>
                <c:pt idx="63">
                  <c:v>-0.0549379617641439</c:v>
                </c:pt>
                <c:pt idx="64">
                  <c:v>-0.0550892030648082</c:v>
                </c:pt>
                <c:pt idx="65">
                  <c:v>-0.055217874921028</c:v>
                </c:pt>
                <c:pt idx="66">
                  <c:v>-0.0553239773328033</c:v>
                </c:pt>
                <c:pt idx="67">
                  <c:v>-0.0554075103001342</c:v>
                </c:pt>
                <c:pt idx="68">
                  <c:v>-0.0554684738230207</c:v>
                </c:pt>
                <c:pt idx="69">
                  <c:v>-0.0555068679014627</c:v>
                </c:pt>
                <c:pt idx="70">
                  <c:v>-0.0555226925354603</c:v>
                </c:pt>
                <c:pt idx="71">
                  <c:v>-0.0555159477250134</c:v>
                </c:pt>
                <c:pt idx="72">
                  <c:v>-0.0554866334701221</c:v>
                </c:pt>
                <c:pt idx="73">
                  <c:v>-0.0554347497707864</c:v>
                </c:pt>
                <c:pt idx="74">
                  <c:v>-0.0553602966270062</c:v>
                </c:pt>
                <c:pt idx="75">
                  <c:v>-0.0552632740387815</c:v>
                </c:pt>
                <c:pt idx="76">
                  <c:v>-0.0551436820061125</c:v>
                </c:pt>
                <c:pt idx="77">
                  <c:v>-0.0550015205289989</c:v>
                </c:pt>
                <c:pt idx="78">
                  <c:v>-0.054836789607441</c:v>
                </c:pt>
                <c:pt idx="79">
                  <c:v>-0.0546494892414385</c:v>
                </c:pt>
                <c:pt idx="80">
                  <c:v>-0.0544396194309917</c:v>
                </c:pt>
                <c:pt idx="81">
                  <c:v>-0.0542071801761003</c:v>
                </c:pt>
                <c:pt idx="82">
                  <c:v>-0.0539521714767646</c:v>
                </c:pt>
                <c:pt idx="83">
                  <c:v>-0.0536745933329844</c:v>
                </c:pt>
                <c:pt idx="84">
                  <c:v>-0.0533744457447598</c:v>
                </c:pt>
                <c:pt idx="85">
                  <c:v>-0.0530517287120907</c:v>
                </c:pt>
                <c:pt idx="86">
                  <c:v>-0.0527064422349772</c:v>
                </c:pt>
                <c:pt idx="87">
                  <c:v>-0.0523385863134192</c:v>
                </c:pt>
                <c:pt idx="88">
                  <c:v>-0.0519481609474168</c:v>
                </c:pt>
                <c:pt idx="89">
                  <c:v>-0.0515351661369699</c:v>
                </c:pt>
                <c:pt idx="90">
                  <c:v>-0.0510996018820786</c:v>
                </c:pt>
                <c:pt idx="91">
                  <c:v>-0.0506414681827428</c:v>
                </c:pt>
                <c:pt idx="92">
                  <c:v>-0.0501607650389626</c:v>
                </c:pt>
                <c:pt idx="93">
                  <c:v>-0.049657492450738</c:v>
                </c:pt>
                <c:pt idx="94">
                  <c:v>-0.0491316504180689</c:v>
                </c:pt>
                <c:pt idx="95">
                  <c:v>-0.0485832389409554</c:v>
                </c:pt>
                <c:pt idx="96">
                  <c:v>-0.0480122580193974</c:v>
                </c:pt>
                <c:pt idx="97">
                  <c:v>-0.047418707653395</c:v>
                </c:pt>
                <c:pt idx="98">
                  <c:v>-0.0468025878429482</c:v>
                </c:pt>
                <c:pt idx="99">
                  <c:v>-0.0461638985880568</c:v>
                </c:pt>
                <c:pt idx="100">
                  <c:v>-0.0455026398887211</c:v>
                </c:pt>
                <c:pt idx="101">
                  <c:v>-0.0448188117449409</c:v>
                </c:pt>
                <c:pt idx="102">
                  <c:v>-0.0441124141567162</c:v>
                </c:pt>
                <c:pt idx="103">
                  <c:v>-0.0433834471240472</c:v>
                </c:pt>
                <c:pt idx="104">
                  <c:v>-0.0426319106469336</c:v>
                </c:pt>
                <c:pt idx="105">
                  <c:v>-0.0418578047253757</c:v>
                </c:pt>
                <c:pt idx="106">
                  <c:v>-0.0410611293593733</c:v>
                </c:pt>
                <c:pt idx="107">
                  <c:v>-0.0402418845489264</c:v>
                </c:pt>
                <c:pt idx="108">
                  <c:v>-0.0394000702940351</c:v>
                </c:pt>
                <c:pt idx="109">
                  <c:v>-0.0385356865946993</c:v>
                </c:pt>
                <c:pt idx="110">
                  <c:v>-0.0376487334509191</c:v>
                </c:pt>
                <c:pt idx="111">
                  <c:v>-0.0367392108626944</c:v>
                </c:pt>
                <c:pt idx="112">
                  <c:v>-0.0358071188300254</c:v>
                </c:pt>
                <c:pt idx="113">
                  <c:v>-0.0348524573529119</c:v>
                </c:pt>
                <c:pt idx="114">
                  <c:v>-0.0338752264313539</c:v>
                </c:pt>
                <c:pt idx="115">
                  <c:v>-0.0328754260653515</c:v>
                </c:pt>
                <c:pt idx="116">
                  <c:v>-0.0318530562549047</c:v>
                </c:pt>
                <c:pt idx="117">
                  <c:v>-0.0308081170000133</c:v>
                </c:pt>
                <c:pt idx="118">
                  <c:v>-0.0297406083006776</c:v>
                </c:pt>
                <c:pt idx="119">
                  <c:v>-0.0286505301568973</c:v>
                </c:pt>
                <c:pt idx="120">
                  <c:v>-0.0275378825686727</c:v>
                </c:pt>
                <c:pt idx="121">
                  <c:v>-0.0264026655360036</c:v>
                </c:pt>
                <c:pt idx="122">
                  <c:v>-0.0252448790588901</c:v>
                </c:pt>
                <c:pt idx="123">
                  <c:v>-0.0240645231373321</c:v>
                </c:pt>
                <c:pt idx="124">
                  <c:v>-0.0228615977713297</c:v>
                </c:pt>
                <c:pt idx="125">
                  <c:v>-0.0216361029608829</c:v>
                </c:pt>
                <c:pt idx="126">
                  <c:v>-0.0203880387059915</c:v>
                </c:pt>
                <c:pt idx="127">
                  <c:v>-0.0191174050066558</c:v>
                </c:pt>
                <c:pt idx="128">
                  <c:v>-0.0178242018628756</c:v>
                </c:pt>
                <c:pt idx="129">
                  <c:v>-0.016508429274651</c:v>
                </c:pt>
                <c:pt idx="130">
                  <c:v>-0.0151700872419818</c:v>
                </c:pt>
                <c:pt idx="131">
                  <c:v>-0.0138091757648683</c:v>
                </c:pt>
                <c:pt idx="132">
                  <c:v>-0.0124256948433103</c:v>
                </c:pt>
                <c:pt idx="133">
                  <c:v>-0.0110196444773079</c:v>
                </c:pt>
                <c:pt idx="134">
                  <c:v>-0.00959102466686104</c:v>
                </c:pt>
                <c:pt idx="135">
                  <c:v>-0.00813983541196978</c:v>
                </c:pt>
                <c:pt idx="136">
                  <c:v>-0.006666076712634</c:v>
                </c:pt>
                <c:pt idx="137">
                  <c:v>-0.00516974856885377</c:v>
                </c:pt>
                <c:pt idx="138">
                  <c:v>-0.00365085098062923</c:v>
                </c:pt>
                <c:pt idx="139">
                  <c:v>-0.00210938394796012</c:v>
                </c:pt>
                <c:pt idx="140">
                  <c:v>-0.000545347470846613</c:v>
                </c:pt>
                <c:pt idx="141">
                  <c:v>0.00104125845071137</c:v>
                </c:pt>
                <c:pt idx="142">
                  <c:v>0.00265043381671384</c:v>
                </c:pt>
                <c:pt idx="143">
                  <c:v>0.00428217862716065</c:v>
                </c:pt>
                <c:pt idx="144">
                  <c:v>0.00593649288205195</c:v>
                </c:pt>
                <c:pt idx="145">
                  <c:v>0.00761337658138775</c:v>
                </c:pt>
                <c:pt idx="146">
                  <c:v>0.00931282972516795</c:v>
                </c:pt>
                <c:pt idx="147">
                  <c:v>0.0110348523133926</c:v>
                </c:pt>
                <c:pt idx="148">
                  <c:v>0.0127794443460617</c:v>
                </c:pt>
                <c:pt idx="149">
                  <c:v>0.0145466058231752</c:v>
                </c:pt>
                <c:pt idx="150">
                  <c:v>0.0163363367447332</c:v>
                </c:pt>
              </c:numCache>
            </c:numRef>
          </c:yVal>
          <c:smooth val="1"/>
        </c:ser>
        <c:ser>
          <c:idx val="2"/>
          <c:order val="2"/>
          <c:tx>
            <c:strRef>
              <c:f>"Diode"</c:f>
              <c:strCache>
                <c:ptCount val="1"/>
                <c:pt idx="0">
                  <c:v>Diode</c:v>
                </c:pt>
              </c:strCache>
            </c:strRef>
          </c:tx>
          <c:spPr>
            <a:ln w="28575" cap="rnd" cmpd="sng" algn="ctr">
              <a:solidFill>
                <a:schemeClr val="bg2">
                  <a:lumMod val="50000"/>
                </a:schemeClr>
              </a:solidFill>
              <a:prstDash val="sysDash"/>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Eff_vs_IOUT!$AN$7:$AN$157</c:f>
              <c:numCache>
                <c:formatCode>General</c:formatCode>
                <c:ptCount val="151"/>
                <c:pt idx="0">
                  <c:v>0</c:v>
                </c:pt>
                <c:pt idx="1">
                  <c:v>0.00541666666666667</c:v>
                </c:pt>
                <c:pt idx="2">
                  <c:v>0.0108333333333333</c:v>
                </c:pt>
                <c:pt idx="3">
                  <c:v>0.01625</c:v>
                </c:pt>
                <c:pt idx="4">
                  <c:v>0.0216666666666667</c:v>
                </c:pt>
                <c:pt idx="5">
                  <c:v>0.0270833333333333</c:v>
                </c:pt>
                <c:pt idx="6">
                  <c:v>0.0325</c:v>
                </c:pt>
                <c:pt idx="7">
                  <c:v>0.0379166666666667</c:v>
                </c:pt>
                <c:pt idx="8">
                  <c:v>0.0433333333333333</c:v>
                </c:pt>
                <c:pt idx="9">
                  <c:v>0.04875</c:v>
                </c:pt>
                <c:pt idx="10">
                  <c:v>0.0541666666666667</c:v>
                </c:pt>
                <c:pt idx="11">
                  <c:v>0.0595833333333333</c:v>
                </c:pt>
                <c:pt idx="12">
                  <c:v>0.065</c:v>
                </c:pt>
                <c:pt idx="13">
                  <c:v>0.0704166666666667</c:v>
                </c:pt>
                <c:pt idx="14">
                  <c:v>0.0758333333333333</c:v>
                </c:pt>
                <c:pt idx="15">
                  <c:v>0.08125</c:v>
                </c:pt>
                <c:pt idx="16">
                  <c:v>0.0866666666666667</c:v>
                </c:pt>
                <c:pt idx="17">
                  <c:v>0.0920833333333333</c:v>
                </c:pt>
                <c:pt idx="18">
                  <c:v>0.0975</c:v>
                </c:pt>
                <c:pt idx="19">
                  <c:v>0.102916666666667</c:v>
                </c:pt>
                <c:pt idx="20">
                  <c:v>0.108333333333333</c:v>
                </c:pt>
                <c:pt idx="21">
                  <c:v>0.11375</c:v>
                </c:pt>
                <c:pt idx="22">
                  <c:v>0.119166666666667</c:v>
                </c:pt>
                <c:pt idx="23">
                  <c:v>0.124583333333333</c:v>
                </c:pt>
                <c:pt idx="24">
                  <c:v>0.13</c:v>
                </c:pt>
                <c:pt idx="25">
                  <c:v>0.135416666666667</c:v>
                </c:pt>
                <c:pt idx="26">
                  <c:v>0.140833333333333</c:v>
                </c:pt>
                <c:pt idx="27">
                  <c:v>0.14625</c:v>
                </c:pt>
                <c:pt idx="28">
                  <c:v>0.151666666666667</c:v>
                </c:pt>
                <c:pt idx="29">
                  <c:v>0.157083333333333</c:v>
                </c:pt>
                <c:pt idx="30">
                  <c:v>0.1625</c:v>
                </c:pt>
                <c:pt idx="31">
                  <c:v>0.167916666666667</c:v>
                </c:pt>
                <c:pt idx="32">
                  <c:v>0.173333333333333</c:v>
                </c:pt>
                <c:pt idx="33">
                  <c:v>0.17875</c:v>
                </c:pt>
                <c:pt idx="34">
                  <c:v>0.184166666666667</c:v>
                </c:pt>
                <c:pt idx="35">
                  <c:v>0.189583333333333</c:v>
                </c:pt>
                <c:pt idx="36">
                  <c:v>0.195</c:v>
                </c:pt>
                <c:pt idx="37">
                  <c:v>0.200416666666667</c:v>
                </c:pt>
                <c:pt idx="38">
                  <c:v>0.205833333333333</c:v>
                </c:pt>
                <c:pt idx="39">
                  <c:v>0.21125</c:v>
                </c:pt>
                <c:pt idx="40">
                  <c:v>0.216666666666667</c:v>
                </c:pt>
                <c:pt idx="41">
                  <c:v>0.222083333333333</c:v>
                </c:pt>
                <c:pt idx="42">
                  <c:v>0.2275</c:v>
                </c:pt>
                <c:pt idx="43">
                  <c:v>0.232916666666667</c:v>
                </c:pt>
                <c:pt idx="44">
                  <c:v>0.238333333333333</c:v>
                </c:pt>
                <c:pt idx="45">
                  <c:v>0.24375</c:v>
                </c:pt>
                <c:pt idx="46">
                  <c:v>0.249166666666667</c:v>
                </c:pt>
                <c:pt idx="47">
                  <c:v>0.254583333333333</c:v>
                </c:pt>
                <c:pt idx="48">
                  <c:v>0.26</c:v>
                </c:pt>
                <c:pt idx="49">
                  <c:v>0.265416666666667</c:v>
                </c:pt>
                <c:pt idx="50">
                  <c:v>0.270833333333333</c:v>
                </c:pt>
                <c:pt idx="51">
                  <c:v>0.27625</c:v>
                </c:pt>
                <c:pt idx="52">
                  <c:v>0.281666666666667</c:v>
                </c:pt>
                <c:pt idx="53">
                  <c:v>0.287083333333333</c:v>
                </c:pt>
                <c:pt idx="54">
                  <c:v>0.2925</c:v>
                </c:pt>
                <c:pt idx="55">
                  <c:v>0.297916666666667</c:v>
                </c:pt>
                <c:pt idx="56">
                  <c:v>0.303333333333333</c:v>
                </c:pt>
                <c:pt idx="57">
                  <c:v>0.30875</c:v>
                </c:pt>
                <c:pt idx="58">
                  <c:v>0.314166666666667</c:v>
                </c:pt>
                <c:pt idx="59">
                  <c:v>0.319583333333333</c:v>
                </c:pt>
                <c:pt idx="60">
                  <c:v>0.325</c:v>
                </c:pt>
                <c:pt idx="61">
                  <c:v>0.330416666666667</c:v>
                </c:pt>
                <c:pt idx="62">
                  <c:v>0.335833333333333</c:v>
                </c:pt>
                <c:pt idx="63">
                  <c:v>0.34125</c:v>
                </c:pt>
                <c:pt idx="64">
                  <c:v>0.346666666666667</c:v>
                </c:pt>
                <c:pt idx="65">
                  <c:v>0.352083333333333</c:v>
                </c:pt>
                <c:pt idx="66">
                  <c:v>0.3575</c:v>
                </c:pt>
                <c:pt idx="67">
                  <c:v>0.362916666666667</c:v>
                </c:pt>
                <c:pt idx="68">
                  <c:v>0.368333333333333</c:v>
                </c:pt>
                <c:pt idx="69">
                  <c:v>0.37375</c:v>
                </c:pt>
                <c:pt idx="70">
                  <c:v>0.379166666666667</c:v>
                </c:pt>
                <c:pt idx="71">
                  <c:v>0.384583333333333</c:v>
                </c:pt>
                <c:pt idx="72">
                  <c:v>0.39</c:v>
                </c:pt>
                <c:pt idx="73">
                  <c:v>0.395416666666667</c:v>
                </c:pt>
                <c:pt idx="74">
                  <c:v>0.400833333333333</c:v>
                </c:pt>
                <c:pt idx="75">
                  <c:v>0.40625</c:v>
                </c:pt>
                <c:pt idx="76">
                  <c:v>0.411666666666667</c:v>
                </c:pt>
                <c:pt idx="77">
                  <c:v>0.417083333333333</c:v>
                </c:pt>
                <c:pt idx="78">
                  <c:v>0.4225</c:v>
                </c:pt>
                <c:pt idx="79">
                  <c:v>0.427916666666667</c:v>
                </c:pt>
                <c:pt idx="80">
                  <c:v>0.433333333333333</c:v>
                </c:pt>
                <c:pt idx="81">
                  <c:v>0.43875</c:v>
                </c:pt>
                <c:pt idx="82">
                  <c:v>0.444166666666667</c:v>
                </c:pt>
                <c:pt idx="83">
                  <c:v>0.449583333333333</c:v>
                </c:pt>
                <c:pt idx="84">
                  <c:v>0.455</c:v>
                </c:pt>
                <c:pt idx="85">
                  <c:v>0.460416666666667</c:v>
                </c:pt>
                <c:pt idx="86">
                  <c:v>0.465833333333333</c:v>
                </c:pt>
                <c:pt idx="87">
                  <c:v>0.47125</c:v>
                </c:pt>
                <c:pt idx="88">
                  <c:v>0.476666666666667</c:v>
                </c:pt>
                <c:pt idx="89">
                  <c:v>0.482083333333333</c:v>
                </c:pt>
                <c:pt idx="90">
                  <c:v>0.4875</c:v>
                </c:pt>
                <c:pt idx="91">
                  <c:v>0.492916666666667</c:v>
                </c:pt>
                <c:pt idx="92">
                  <c:v>0.498333333333333</c:v>
                </c:pt>
                <c:pt idx="93">
                  <c:v>0.50375</c:v>
                </c:pt>
                <c:pt idx="94">
                  <c:v>0.509166666666667</c:v>
                </c:pt>
                <c:pt idx="95">
                  <c:v>0.514583333333333</c:v>
                </c:pt>
                <c:pt idx="96">
                  <c:v>0.52</c:v>
                </c:pt>
                <c:pt idx="97">
                  <c:v>0.525416666666667</c:v>
                </c:pt>
                <c:pt idx="98">
                  <c:v>0.530833333333333</c:v>
                </c:pt>
                <c:pt idx="99">
                  <c:v>0.53625</c:v>
                </c:pt>
                <c:pt idx="100">
                  <c:v>0.541666666666667</c:v>
                </c:pt>
                <c:pt idx="101">
                  <c:v>0.547083333333333</c:v>
                </c:pt>
                <c:pt idx="102">
                  <c:v>0.5525</c:v>
                </c:pt>
                <c:pt idx="103">
                  <c:v>0.557916666666667</c:v>
                </c:pt>
                <c:pt idx="104">
                  <c:v>0.563333333333333</c:v>
                </c:pt>
                <c:pt idx="105">
                  <c:v>0.56875</c:v>
                </c:pt>
                <c:pt idx="106">
                  <c:v>0.574166666666667</c:v>
                </c:pt>
                <c:pt idx="107">
                  <c:v>0.579583333333333</c:v>
                </c:pt>
                <c:pt idx="108">
                  <c:v>0.585</c:v>
                </c:pt>
                <c:pt idx="109">
                  <c:v>0.590416666666667</c:v>
                </c:pt>
                <c:pt idx="110">
                  <c:v>0.595833333333333</c:v>
                </c:pt>
                <c:pt idx="111">
                  <c:v>0.60125</c:v>
                </c:pt>
                <c:pt idx="112">
                  <c:v>0.606666666666667</c:v>
                </c:pt>
                <c:pt idx="113">
                  <c:v>0.612083333333333</c:v>
                </c:pt>
                <c:pt idx="114">
                  <c:v>0.6175</c:v>
                </c:pt>
                <c:pt idx="115">
                  <c:v>0.622916666666667</c:v>
                </c:pt>
                <c:pt idx="116">
                  <c:v>0.628333333333333</c:v>
                </c:pt>
                <c:pt idx="117">
                  <c:v>0.63375</c:v>
                </c:pt>
                <c:pt idx="118">
                  <c:v>0.639166666666667</c:v>
                </c:pt>
                <c:pt idx="119">
                  <c:v>0.644583333333333</c:v>
                </c:pt>
                <c:pt idx="120">
                  <c:v>0.65</c:v>
                </c:pt>
                <c:pt idx="121">
                  <c:v>0.655416666666667</c:v>
                </c:pt>
                <c:pt idx="122">
                  <c:v>0.660833333333333</c:v>
                </c:pt>
                <c:pt idx="123">
                  <c:v>0.66625</c:v>
                </c:pt>
                <c:pt idx="124">
                  <c:v>0.671666666666667</c:v>
                </c:pt>
                <c:pt idx="125">
                  <c:v>0.677083333333333</c:v>
                </c:pt>
                <c:pt idx="126">
                  <c:v>0.6825</c:v>
                </c:pt>
                <c:pt idx="127">
                  <c:v>0.687916666666667</c:v>
                </c:pt>
                <c:pt idx="128">
                  <c:v>0.693333333333333</c:v>
                </c:pt>
                <c:pt idx="129">
                  <c:v>0.69875</c:v>
                </c:pt>
                <c:pt idx="130">
                  <c:v>0.704166666666667</c:v>
                </c:pt>
                <c:pt idx="131">
                  <c:v>0.709583333333333</c:v>
                </c:pt>
                <c:pt idx="132">
                  <c:v>0.715</c:v>
                </c:pt>
                <c:pt idx="133">
                  <c:v>0.720416666666667</c:v>
                </c:pt>
                <c:pt idx="134">
                  <c:v>0.725833333333333</c:v>
                </c:pt>
                <c:pt idx="135">
                  <c:v>0.73125</c:v>
                </c:pt>
                <c:pt idx="136">
                  <c:v>0.736666666666667</c:v>
                </c:pt>
                <c:pt idx="137">
                  <c:v>0.742083333333333</c:v>
                </c:pt>
                <c:pt idx="138">
                  <c:v>0.7475</c:v>
                </c:pt>
                <c:pt idx="139">
                  <c:v>0.752916666666667</c:v>
                </c:pt>
                <c:pt idx="140">
                  <c:v>0.758333333333333</c:v>
                </c:pt>
                <c:pt idx="141">
                  <c:v>0.76375</c:v>
                </c:pt>
                <c:pt idx="142">
                  <c:v>0.769166666666667</c:v>
                </c:pt>
                <c:pt idx="143">
                  <c:v>0.774583333333333</c:v>
                </c:pt>
                <c:pt idx="144">
                  <c:v>0.78</c:v>
                </c:pt>
                <c:pt idx="145">
                  <c:v>0.785416666666667</c:v>
                </c:pt>
                <c:pt idx="146">
                  <c:v>0.790833333333333</c:v>
                </c:pt>
                <c:pt idx="147">
                  <c:v>0.79625</c:v>
                </c:pt>
                <c:pt idx="148">
                  <c:v>0.801666666666667</c:v>
                </c:pt>
                <c:pt idx="149">
                  <c:v>0.807083333333333</c:v>
                </c:pt>
                <c:pt idx="150">
                  <c:v>0.8125</c:v>
                </c:pt>
              </c:numCache>
            </c:numRef>
          </c:yVal>
          <c:smooth val="1"/>
        </c:ser>
        <c:ser>
          <c:idx val="3"/>
          <c:order val="3"/>
          <c:tx>
            <c:strRef>
              <c:f>"RCS"</c:f>
              <c:strCache>
                <c:ptCount val="1"/>
                <c:pt idx="0">
                  <c:v>RCS</c:v>
                </c:pt>
              </c:strCache>
            </c:strRef>
          </c:tx>
          <c:spPr>
            <a:ln w="28575" cap="rnd" cmpd="sng" algn="ctr">
              <a:solidFill>
                <a:schemeClr val="accent5">
                  <a:lumMod val="75000"/>
                </a:schemeClr>
              </a:solidFill>
              <a:prstDash val="lgDashDotDot"/>
              <a:round/>
            </a:ln>
          </c:spPr>
          <c:marker>
            <c:symbol val="none"/>
          </c:marker>
          <c:dLbls>
            <c:delete val="1"/>
          </c:dLbls>
          <c:xVal>
            <c:numRef>
              <c:f>Eff_vs_IOUT!$S$7:$S$157</c:f>
              <c:numCache>
                <c:formatCode>General</c:formatCode>
                <c:ptCount val="151"/>
                <c:pt idx="0">
                  <c:v>0</c:v>
                </c:pt>
                <c:pt idx="1">
                  <c:v>0.0166666666666667</c:v>
                </c:pt>
                <c:pt idx="2">
                  <c:v>0.0333333333333333</c:v>
                </c:pt>
                <c:pt idx="3">
                  <c:v>0.05</c:v>
                </c:pt>
                <c:pt idx="4">
                  <c:v>0.0666666666666667</c:v>
                </c:pt>
                <c:pt idx="5">
                  <c:v>0.0833333333333333</c:v>
                </c:pt>
                <c:pt idx="6">
                  <c:v>0.1</c:v>
                </c:pt>
                <c:pt idx="7">
                  <c:v>0.116666666666667</c:v>
                </c:pt>
                <c:pt idx="8">
                  <c:v>0.133333333333333</c:v>
                </c:pt>
                <c:pt idx="9">
                  <c:v>0.15</c:v>
                </c:pt>
                <c:pt idx="10">
                  <c:v>0.166666666666667</c:v>
                </c:pt>
                <c:pt idx="11">
                  <c:v>0.183333333333333</c:v>
                </c:pt>
                <c:pt idx="12">
                  <c:v>0.2</c:v>
                </c:pt>
                <c:pt idx="13">
                  <c:v>0.216666666666667</c:v>
                </c:pt>
                <c:pt idx="14">
                  <c:v>0.233333333333333</c:v>
                </c:pt>
                <c:pt idx="15">
                  <c:v>0.25</c:v>
                </c:pt>
                <c:pt idx="16">
                  <c:v>0.266666666666667</c:v>
                </c:pt>
                <c:pt idx="17">
                  <c:v>0.283333333333333</c:v>
                </c:pt>
                <c:pt idx="18">
                  <c:v>0.3</c:v>
                </c:pt>
                <c:pt idx="19">
                  <c:v>0.316666666666667</c:v>
                </c:pt>
                <c:pt idx="20">
                  <c:v>0.333333333333333</c:v>
                </c:pt>
                <c:pt idx="21">
                  <c:v>0.35</c:v>
                </c:pt>
                <c:pt idx="22">
                  <c:v>0.366666666666667</c:v>
                </c:pt>
                <c:pt idx="23">
                  <c:v>0.383333333333333</c:v>
                </c:pt>
                <c:pt idx="24">
                  <c:v>0.4</c:v>
                </c:pt>
                <c:pt idx="25">
                  <c:v>0.416666666666667</c:v>
                </c:pt>
                <c:pt idx="26">
                  <c:v>0.433333333333333</c:v>
                </c:pt>
                <c:pt idx="27">
                  <c:v>0.45</c:v>
                </c:pt>
                <c:pt idx="28">
                  <c:v>0.466666666666667</c:v>
                </c:pt>
                <c:pt idx="29">
                  <c:v>0.483333333333333</c:v>
                </c:pt>
                <c:pt idx="30">
                  <c:v>0.5</c:v>
                </c:pt>
                <c:pt idx="31">
                  <c:v>0.516666666666667</c:v>
                </c:pt>
                <c:pt idx="32">
                  <c:v>0.533333333333333</c:v>
                </c:pt>
                <c:pt idx="33">
                  <c:v>0.55</c:v>
                </c:pt>
                <c:pt idx="34">
                  <c:v>0.566666666666667</c:v>
                </c:pt>
                <c:pt idx="35">
                  <c:v>0.583333333333333</c:v>
                </c:pt>
                <c:pt idx="36">
                  <c:v>0.6</c:v>
                </c:pt>
                <c:pt idx="37">
                  <c:v>0.616666666666667</c:v>
                </c:pt>
                <c:pt idx="38">
                  <c:v>0.633333333333333</c:v>
                </c:pt>
                <c:pt idx="39">
                  <c:v>0.65</c:v>
                </c:pt>
                <c:pt idx="40">
                  <c:v>0.666666666666667</c:v>
                </c:pt>
                <c:pt idx="41">
                  <c:v>0.683333333333333</c:v>
                </c:pt>
                <c:pt idx="42">
                  <c:v>0.7</c:v>
                </c:pt>
                <c:pt idx="43">
                  <c:v>0.716666666666667</c:v>
                </c:pt>
                <c:pt idx="44">
                  <c:v>0.733333333333333</c:v>
                </c:pt>
                <c:pt idx="45">
                  <c:v>0.75</c:v>
                </c:pt>
                <c:pt idx="46">
                  <c:v>0.766666666666667</c:v>
                </c:pt>
                <c:pt idx="47">
                  <c:v>0.783333333333333</c:v>
                </c:pt>
                <c:pt idx="48">
                  <c:v>0.8</c:v>
                </c:pt>
                <c:pt idx="49">
                  <c:v>0.816666666666667</c:v>
                </c:pt>
                <c:pt idx="50">
                  <c:v>0.833333333333333</c:v>
                </c:pt>
                <c:pt idx="51">
                  <c:v>0.85</c:v>
                </c:pt>
                <c:pt idx="52">
                  <c:v>0.866666666666667</c:v>
                </c:pt>
                <c:pt idx="53">
                  <c:v>0.883333333333333</c:v>
                </c:pt>
                <c:pt idx="54">
                  <c:v>0.9</c:v>
                </c:pt>
                <c:pt idx="55">
                  <c:v>0.916666666666667</c:v>
                </c:pt>
                <c:pt idx="56">
                  <c:v>0.933333333333333</c:v>
                </c:pt>
                <c:pt idx="57">
                  <c:v>0.95</c:v>
                </c:pt>
                <c:pt idx="58">
                  <c:v>0.966666666666667</c:v>
                </c:pt>
                <c:pt idx="59">
                  <c:v>0.983333333333333</c:v>
                </c:pt>
                <c:pt idx="60">
                  <c:v>1</c:v>
                </c:pt>
                <c:pt idx="61">
                  <c:v>1.01666666666667</c:v>
                </c:pt>
                <c:pt idx="62">
                  <c:v>1.03333333333333</c:v>
                </c:pt>
                <c:pt idx="63">
                  <c:v>1.05</c:v>
                </c:pt>
                <c:pt idx="64">
                  <c:v>1.06666666666667</c:v>
                </c:pt>
                <c:pt idx="65">
                  <c:v>1.08333333333333</c:v>
                </c:pt>
                <c:pt idx="66">
                  <c:v>1.1</c:v>
                </c:pt>
                <c:pt idx="67">
                  <c:v>1.11666666666667</c:v>
                </c:pt>
                <c:pt idx="68">
                  <c:v>1.13333333333333</c:v>
                </c:pt>
                <c:pt idx="69">
                  <c:v>1.15</c:v>
                </c:pt>
                <c:pt idx="70">
                  <c:v>1.16666666666667</c:v>
                </c:pt>
                <c:pt idx="71">
                  <c:v>1.18333333333333</c:v>
                </c:pt>
                <c:pt idx="72">
                  <c:v>1.2</c:v>
                </c:pt>
                <c:pt idx="73">
                  <c:v>1.21666666666667</c:v>
                </c:pt>
                <c:pt idx="74">
                  <c:v>1.23333333333333</c:v>
                </c:pt>
                <c:pt idx="75">
                  <c:v>1.25</c:v>
                </c:pt>
                <c:pt idx="76">
                  <c:v>1.26666666666667</c:v>
                </c:pt>
                <c:pt idx="77">
                  <c:v>1.28333333333333</c:v>
                </c:pt>
                <c:pt idx="78">
                  <c:v>1.3</c:v>
                </c:pt>
                <c:pt idx="79">
                  <c:v>1.31666666666667</c:v>
                </c:pt>
                <c:pt idx="80">
                  <c:v>1.33333333333333</c:v>
                </c:pt>
                <c:pt idx="81">
                  <c:v>1.35</c:v>
                </c:pt>
                <c:pt idx="82">
                  <c:v>1.36666666666667</c:v>
                </c:pt>
                <c:pt idx="83">
                  <c:v>1.38333333333333</c:v>
                </c:pt>
                <c:pt idx="84">
                  <c:v>1.4</c:v>
                </c:pt>
                <c:pt idx="85">
                  <c:v>1.41666666666667</c:v>
                </c:pt>
                <c:pt idx="86">
                  <c:v>1.43333333333333</c:v>
                </c:pt>
                <c:pt idx="87">
                  <c:v>1.45</c:v>
                </c:pt>
                <c:pt idx="88">
                  <c:v>1.46666666666667</c:v>
                </c:pt>
                <c:pt idx="89">
                  <c:v>1.48333333333333</c:v>
                </c:pt>
                <c:pt idx="90">
                  <c:v>1.5</c:v>
                </c:pt>
                <c:pt idx="91">
                  <c:v>1.51666666666667</c:v>
                </c:pt>
                <c:pt idx="92">
                  <c:v>1.53333333333333</c:v>
                </c:pt>
                <c:pt idx="93">
                  <c:v>1.55</c:v>
                </c:pt>
                <c:pt idx="94">
                  <c:v>1.56666666666667</c:v>
                </c:pt>
                <c:pt idx="95">
                  <c:v>1.58333333333333</c:v>
                </c:pt>
                <c:pt idx="96">
                  <c:v>1.6</c:v>
                </c:pt>
                <c:pt idx="97">
                  <c:v>1.61666666666667</c:v>
                </c:pt>
                <c:pt idx="98">
                  <c:v>1.63333333333333</c:v>
                </c:pt>
                <c:pt idx="99">
                  <c:v>1.65</c:v>
                </c:pt>
                <c:pt idx="100">
                  <c:v>1.66666666666667</c:v>
                </c:pt>
                <c:pt idx="101">
                  <c:v>1.68333333333333</c:v>
                </c:pt>
                <c:pt idx="102">
                  <c:v>1.7</c:v>
                </c:pt>
                <c:pt idx="103">
                  <c:v>1.71666666666667</c:v>
                </c:pt>
                <c:pt idx="104">
                  <c:v>1.73333333333333</c:v>
                </c:pt>
                <c:pt idx="105">
                  <c:v>1.75</c:v>
                </c:pt>
                <c:pt idx="106">
                  <c:v>1.76666666666667</c:v>
                </c:pt>
                <c:pt idx="107">
                  <c:v>1.78333333333333</c:v>
                </c:pt>
                <c:pt idx="108">
                  <c:v>1.8</c:v>
                </c:pt>
                <c:pt idx="109">
                  <c:v>1.81666666666667</c:v>
                </c:pt>
                <c:pt idx="110">
                  <c:v>1.83333333333333</c:v>
                </c:pt>
                <c:pt idx="111">
                  <c:v>1.85</c:v>
                </c:pt>
                <c:pt idx="112">
                  <c:v>1.86666666666667</c:v>
                </c:pt>
                <c:pt idx="113">
                  <c:v>1.88333333333333</c:v>
                </c:pt>
                <c:pt idx="114">
                  <c:v>1.9</c:v>
                </c:pt>
                <c:pt idx="115">
                  <c:v>1.91666666666667</c:v>
                </c:pt>
                <c:pt idx="116">
                  <c:v>1.93333333333333</c:v>
                </c:pt>
                <c:pt idx="117">
                  <c:v>1.95</c:v>
                </c:pt>
                <c:pt idx="118">
                  <c:v>1.96666666666667</c:v>
                </c:pt>
                <c:pt idx="119">
                  <c:v>1.98333333333333</c:v>
                </c:pt>
                <c:pt idx="120">
                  <c:v>2</c:v>
                </c:pt>
                <c:pt idx="121">
                  <c:v>2.01666666666667</c:v>
                </c:pt>
                <c:pt idx="122">
                  <c:v>2.03333333333333</c:v>
                </c:pt>
                <c:pt idx="123">
                  <c:v>2.05</c:v>
                </c:pt>
                <c:pt idx="124">
                  <c:v>2.06666666666667</c:v>
                </c:pt>
                <c:pt idx="125">
                  <c:v>2.08333333333333</c:v>
                </c:pt>
                <c:pt idx="126">
                  <c:v>2.1</c:v>
                </c:pt>
                <c:pt idx="127">
                  <c:v>2.11666666666667</c:v>
                </c:pt>
                <c:pt idx="128">
                  <c:v>2.13333333333333</c:v>
                </c:pt>
                <c:pt idx="129">
                  <c:v>2.15</c:v>
                </c:pt>
                <c:pt idx="130">
                  <c:v>2.16666666666667</c:v>
                </c:pt>
                <c:pt idx="131">
                  <c:v>2.18333333333333</c:v>
                </c:pt>
                <c:pt idx="132">
                  <c:v>2.2</c:v>
                </c:pt>
                <c:pt idx="133">
                  <c:v>2.21666666666667</c:v>
                </c:pt>
                <c:pt idx="134">
                  <c:v>2.23333333333333</c:v>
                </c:pt>
                <c:pt idx="135">
                  <c:v>2.25</c:v>
                </c:pt>
                <c:pt idx="136">
                  <c:v>2.26666666666667</c:v>
                </c:pt>
                <c:pt idx="137">
                  <c:v>2.28333333333333</c:v>
                </c:pt>
                <c:pt idx="138">
                  <c:v>2.3</c:v>
                </c:pt>
                <c:pt idx="139">
                  <c:v>2.31666666666667</c:v>
                </c:pt>
                <c:pt idx="140">
                  <c:v>2.33333333333333</c:v>
                </c:pt>
                <c:pt idx="141">
                  <c:v>2.35</c:v>
                </c:pt>
                <c:pt idx="142">
                  <c:v>2.36666666666667</c:v>
                </c:pt>
                <c:pt idx="143">
                  <c:v>2.38333333333333</c:v>
                </c:pt>
                <c:pt idx="144">
                  <c:v>2.4</c:v>
                </c:pt>
                <c:pt idx="145">
                  <c:v>2.41666666666667</c:v>
                </c:pt>
                <c:pt idx="146">
                  <c:v>2.43333333333333</c:v>
                </c:pt>
                <c:pt idx="147">
                  <c:v>2.45</c:v>
                </c:pt>
                <c:pt idx="148">
                  <c:v>2.46666666666667</c:v>
                </c:pt>
                <c:pt idx="149">
                  <c:v>2.48333333333333</c:v>
                </c:pt>
                <c:pt idx="150">
                  <c:v>2.5</c:v>
                </c:pt>
              </c:numCache>
            </c:numRef>
          </c:xVal>
          <c:yVal>
            <c:numRef>
              <c:f>Eff_vs_IOUT!$AO$7:$AO$157</c:f>
              <c:numCache>
                <c:formatCode>General</c:formatCode>
                <c:ptCount val="151"/>
                <c:pt idx="0">
                  <c:v>0</c:v>
                </c:pt>
                <c:pt idx="1">
                  <c:v>0.000146706873593245</c:v>
                </c:pt>
                <c:pt idx="2">
                  <c:v>0.000505046248651554</c:v>
                </c:pt>
                <c:pt idx="3">
                  <c:v>0.00106867833899658</c:v>
                </c:pt>
                <c:pt idx="4">
                  <c:v>0.000416608820398908</c:v>
                </c:pt>
                <c:pt idx="5">
                  <c:v>0.000572858820398908</c:v>
                </c:pt>
                <c:pt idx="6">
                  <c:v>0.00076383104262113</c:v>
                </c:pt>
                <c:pt idx="7">
                  <c:v>0.000989525487065575</c:v>
                </c:pt>
                <c:pt idx="8">
                  <c:v>0.00124994215373224</c:v>
                </c:pt>
                <c:pt idx="9">
                  <c:v>0.00154508104262113</c:v>
                </c:pt>
                <c:pt idx="10">
                  <c:v>0.00187494215373224</c:v>
                </c:pt>
                <c:pt idx="11">
                  <c:v>0.00223952548706557</c:v>
                </c:pt>
                <c:pt idx="12">
                  <c:v>0.00263883104262113</c:v>
                </c:pt>
                <c:pt idx="13">
                  <c:v>0.00307285882039891</c:v>
                </c:pt>
                <c:pt idx="14">
                  <c:v>0.00354160882039891</c:v>
                </c:pt>
                <c:pt idx="15">
                  <c:v>0.00404508104262113</c:v>
                </c:pt>
                <c:pt idx="16">
                  <c:v>0.00458327548706557</c:v>
                </c:pt>
                <c:pt idx="17">
                  <c:v>0.00515619215373224</c:v>
                </c:pt>
                <c:pt idx="18">
                  <c:v>0.00576383104262113</c:v>
                </c:pt>
                <c:pt idx="19">
                  <c:v>0.00640619215373224</c:v>
                </c:pt>
                <c:pt idx="20">
                  <c:v>0.00708327548706557</c:v>
                </c:pt>
                <c:pt idx="21">
                  <c:v>0.00779508104262113</c:v>
                </c:pt>
                <c:pt idx="22">
                  <c:v>0.00854160882039891</c:v>
                </c:pt>
                <c:pt idx="23">
                  <c:v>0.00932285882039891</c:v>
                </c:pt>
                <c:pt idx="24">
                  <c:v>0.0101388310426211</c:v>
                </c:pt>
                <c:pt idx="25">
                  <c:v>0.0109895254870656</c:v>
                </c:pt>
                <c:pt idx="26">
                  <c:v>0.0118749421537322</c:v>
                </c:pt>
                <c:pt idx="27">
                  <c:v>0.0127950810426211</c:v>
                </c:pt>
                <c:pt idx="28">
                  <c:v>0.0137499421537322</c:v>
                </c:pt>
                <c:pt idx="29">
                  <c:v>0.0147395254870656</c:v>
                </c:pt>
                <c:pt idx="30">
                  <c:v>0.0157638310426211</c:v>
                </c:pt>
                <c:pt idx="31">
                  <c:v>0.0168228588203989</c:v>
                </c:pt>
                <c:pt idx="32">
                  <c:v>0.0179166088203989</c:v>
                </c:pt>
                <c:pt idx="33">
                  <c:v>0.0190450810426211</c:v>
                </c:pt>
                <c:pt idx="34">
                  <c:v>0.0202082754870656</c:v>
                </c:pt>
                <c:pt idx="35">
                  <c:v>0.0214061921537322</c:v>
                </c:pt>
                <c:pt idx="36">
                  <c:v>0.0226388310426211</c:v>
                </c:pt>
                <c:pt idx="37">
                  <c:v>0.0239061921537322</c:v>
                </c:pt>
                <c:pt idx="38">
                  <c:v>0.0252082754870656</c:v>
                </c:pt>
                <c:pt idx="39">
                  <c:v>0.0265450810426211</c:v>
                </c:pt>
                <c:pt idx="40">
                  <c:v>0.0279166088203989</c:v>
                </c:pt>
                <c:pt idx="41">
                  <c:v>0.0293228588203989</c:v>
                </c:pt>
                <c:pt idx="42">
                  <c:v>0.0307638310426211</c:v>
                </c:pt>
                <c:pt idx="43">
                  <c:v>0.0322395254870656</c:v>
                </c:pt>
                <c:pt idx="44">
                  <c:v>0.0337499421537322</c:v>
                </c:pt>
                <c:pt idx="45">
                  <c:v>0.0352950810426211</c:v>
                </c:pt>
                <c:pt idx="46">
                  <c:v>0.0368749421537322</c:v>
                </c:pt>
                <c:pt idx="47">
                  <c:v>0.0384895254870656</c:v>
                </c:pt>
                <c:pt idx="48">
                  <c:v>0.0401388310426211</c:v>
                </c:pt>
                <c:pt idx="49">
                  <c:v>0.0418228588203989</c:v>
                </c:pt>
                <c:pt idx="50">
                  <c:v>0.0435416088203989</c:v>
                </c:pt>
                <c:pt idx="51">
                  <c:v>0.0452950810426211</c:v>
                </c:pt>
                <c:pt idx="52">
                  <c:v>0.0470832754870656</c:v>
                </c:pt>
                <c:pt idx="53">
                  <c:v>0.0489061921537322</c:v>
                </c:pt>
                <c:pt idx="54">
                  <c:v>0.0507638310426211</c:v>
                </c:pt>
                <c:pt idx="55">
                  <c:v>0.0526561921537322</c:v>
                </c:pt>
                <c:pt idx="56">
                  <c:v>0.0545832754870656</c:v>
                </c:pt>
                <c:pt idx="57">
                  <c:v>0.0565450810426211</c:v>
                </c:pt>
                <c:pt idx="58">
                  <c:v>0.0585416088203989</c:v>
                </c:pt>
                <c:pt idx="59">
                  <c:v>0.0605728588203989</c:v>
                </c:pt>
                <c:pt idx="60">
                  <c:v>0.0626388310426211</c:v>
                </c:pt>
                <c:pt idx="61">
                  <c:v>0.0647395254870656</c:v>
                </c:pt>
                <c:pt idx="62">
                  <c:v>0.0668749421537322</c:v>
                </c:pt>
                <c:pt idx="63">
                  <c:v>0.0690450810426211</c:v>
                </c:pt>
                <c:pt idx="64">
                  <c:v>0.0712499421537322</c:v>
                </c:pt>
                <c:pt idx="65">
                  <c:v>0.0734895254870656</c:v>
                </c:pt>
                <c:pt idx="66">
                  <c:v>0.0757638310426211</c:v>
                </c:pt>
                <c:pt idx="67">
                  <c:v>0.0780728588203989</c:v>
                </c:pt>
                <c:pt idx="68">
                  <c:v>0.0804166088203989</c:v>
                </c:pt>
                <c:pt idx="69">
                  <c:v>0.0827950810426211</c:v>
                </c:pt>
                <c:pt idx="70">
                  <c:v>0.0852082754870656</c:v>
                </c:pt>
                <c:pt idx="71">
                  <c:v>0.0876561921537323</c:v>
                </c:pt>
                <c:pt idx="72">
                  <c:v>0.0901388310426212</c:v>
                </c:pt>
                <c:pt idx="73">
                  <c:v>0.0926561921537323</c:v>
                </c:pt>
                <c:pt idx="74">
                  <c:v>0.0952082754870656</c:v>
                </c:pt>
                <c:pt idx="75">
                  <c:v>0.0977950810426211</c:v>
                </c:pt>
                <c:pt idx="76">
                  <c:v>0.100416608820399</c:v>
                </c:pt>
                <c:pt idx="77">
                  <c:v>0.103072858820399</c:v>
                </c:pt>
                <c:pt idx="78">
                  <c:v>0.105763831042621</c:v>
                </c:pt>
                <c:pt idx="79">
                  <c:v>0.108489525487066</c:v>
                </c:pt>
                <c:pt idx="80">
                  <c:v>0.111249942153732</c:v>
                </c:pt>
                <c:pt idx="81">
                  <c:v>0.114045081042621</c:v>
                </c:pt>
                <c:pt idx="82">
                  <c:v>0.116874942153732</c:v>
                </c:pt>
                <c:pt idx="83">
                  <c:v>0.119739525487066</c:v>
                </c:pt>
                <c:pt idx="84">
                  <c:v>0.122638831042621</c:v>
                </c:pt>
                <c:pt idx="85">
                  <c:v>0.125572858820399</c:v>
                </c:pt>
                <c:pt idx="86">
                  <c:v>0.128541608820399</c:v>
                </c:pt>
                <c:pt idx="87">
                  <c:v>0.131545081042621</c:v>
                </c:pt>
                <c:pt idx="88">
                  <c:v>0.134583275487066</c:v>
                </c:pt>
                <c:pt idx="89">
                  <c:v>0.137656192153732</c:v>
                </c:pt>
                <c:pt idx="90">
                  <c:v>0.140763831042621</c:v>
                </c:pt>
                <c:pt idx="91">
                  <c:v>0.143906192153732</c:v>
                </c:pt>
                <c:pt idx="92">
                  <c:v>0.147083275487066</c:v>
                </c:pt>
                <c:pt idx="93">
                  <c:v>0.150295081042621</c:v>
                </c:pt>
                <c:pt idx="94">
                  <c:v>0.153541608820399</c:v>
                </c:pt>
                <c:pt idx="95">
                  <c:v>0.156822858820399</c:v>
                </c:pt>
                <c:pt idx="96">
                  <c:v>0.160138831042621</c:v>
                </c:pt>
                <c:pt idx="97">
                  <c:v>0.163489525487066</c:v>
                </c:pt>
                <c:pt idx="98">
                  <c:v>0.166874942153732</c:v>
                </c:pt>
                <c:pt idx="99">
                  <c:v>0.170295081042621</c:v>
                </c:pt>
                <c:pt idx="100">
                  <c:v>0.173749942153732</c:v>
                </c:pt>
                <c:pt idx="101">
                  <c:v>0.177239525487066</c:v>
                </c:pt>
                <c:pt idx="102">
                  <c:v>0.180763831042621</c:v>
                </c:pt>
                <c:pt idx="103">
                  <c:v>0.184322858820399</c:v>
                </c:pt>
                <c:pt idx="104">
                  <c:v>0.187916608820399</c:v>
                </c:pt>
                <c:pt idx="105">
                  <c:v>0.191545081042621</c:v>
                </c:pt>
                <c:pt idx="106">
                  <c:v>0.195208275487066</c:v>
                </c:pt>
                <c:pt idx="107">
                  <c:v>0.198906192153732</c:v>
                </c:pt>
                <c:pt idx="108">
                  <c:v>0.202638831042621</c:v>
                </c:pt>
                <c:pt idx="109">
                  <c:v>0.206406192153732</c:v>
                </c:pt>
                <c:pt idx="110">
                  <c:v>0.210208275487066</c:v>
                </c:pt>
                <c:pt idx="111">
                  <c:v>0.214045081042621</c:v>
                </c:pt>
                <c:pt idx="112">
                  <c:v>0.217916608820399</c:v>
                </c:pt>
                <c:pt idx="113">
                  <c:v>0.221822858820399</c:v>
                </c:pt>
                <c:pt idx="114">
                  <c:v>0.225763831042621</c:v>
                </c:pt>
                <c:pt idx="115">
                  <c:v>0.229739525487066</c:v>
                </c:pt>
                <c:pt idx="116">
                  <c:v>0.233749942153732</c:v>
                </c:pt>
                <c:pt idx="117">
                  <c:v>0.237795081042621</c:v>
                </c:pt>
                <c:pt idx="118">
                  <c:v>0.241874942153732</c:v>
                </c:pt>
                <c:pt idx="119">
                  <c:v>0.245989525487066</c:v>
                </c:pt>
                <c:pt idx="120">
                  <c:v>0.250138831042621</c:v>
                </c:pt>
                <c:pt idx="121">
                  <c:v>0.254322858820399</c:v>
                </c:pt>
                <c:pt idx="122">
                  <c:v>0.258541608820399</c:v>
                </c:pt>
                <c:pt idx="123">
                  <c:v>0.262795081042621</c:v>
                </c:pt>
                <c:pt idx="124">
                  <c:v>0.267083275487066</c:v>
                </c:pt>
                <c:pt idx="125">
                  <c:v>0.271406192153732</c:v>
                </c:pt>
                <c:pt idx="126">
                  <c:v>0.275763831042621</c:v>
                </c:pt>
                <c:pt idx="127">
                  <c:v>0.280156192153732</c:v>
                </c:pt>
                <c:pt idx="128">
                  <c:v>0.284583275487066</c:v>
                </c:pt>
                <c:pt idx="129">
                  <c:v>0.289045081042621</c:v>
                </c:pt>
                <c:pt idx="130">
                  <c:v>0.293541608820399</c:v>
                </c:pt>
                <c:pt idx="131">
                  <c:v>0.298072858820399</c:v>
                </c:pt>
                <c:pt idx="132">
                  <c:v>0.302638831042621</c:v>
                </c:pt>
                <c:pt idx="133">
                  <c:v>0.307239525487066</c:v>
                </c:pt>
                <c:pt idx="134">
                  <c:v>0.311874942153732</c:v>
                </c:pt>
                <c:pt idx="135">
                  <c:v>0.316545081042621</c:v>
                </c:pt>
                <c:pt idx="136">
                  <c:v>0.321249942153732</c:v>
                </c:pt>
                <c:pt idx="137">
                  <c:v>0.325989525487066</c:v>
                </c:pt>
                <c:pt idx="138">
                  <c:v>0.330763831042621</c:v>
                </c:pt>
                <c:pt idx="139">
                  <c:v>0.335572858820399</c:v>
                </c:pt>
                <c:pt idx="140">
                  <c:v>0.340416608820399</c:v>
                </c:pt>
                <c:pt idx="141">
                  <c:v>0.345295081042621</c:v>
                </c:pt>
                <c:pt idx="142">
                  <c:v>0.350208275487066</c:v>
                </c:pt>
                <c:pt idx="143">
                  <c:v>0.355156192153732</c:v>
                </c:pt>
                <c:pt idx="144">
                  <c:v>0.360138831042621</c:v>
                </c:pt>
                <c:pt idx="145">
                  <c:v>0.365156192153732</c:v>
                </c:pt>
                <c:pt idx="146">
                  <c:v>0.370208275487066</c:v>
                </c:pt>
                <c:pt idx="147">
                  <c:v>0.375295081042621</c:v>
                </c:pt>
                <c:pt idx="148">
                  <c:v>0.380416608820399</c:v>
                </c:pt>
                <c:pt idx="149">
                  <c:v>0.385572858820399</c:v>
                </c:pt>
                <c:pt idx="150">
                  <c:v>0.390763831042621</c:v>
                </c:pt>
              </c:numCache>
            </c:numRef>
          </c:yVal>
          <c:smooth val="1"/>
        </c:ser>
        <c:dLbls>
          <c:showLegendKey val="0"/>
          <c:showVal val="0"/>
          <c:showCatName val="0"/>
          <c:showSerName val="0"/>
          <c:showPercent val="0"/>
          <c:showBubbleSize val="0"/>
        </c:dLbls>
        <c:axId val="178635520"/>
        <c:axId val="178616960"/>
      </c:scatterChart>
      <c:valAx>
        <c:axId val="178605056"/>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615040"/>
        <c:crosses val="autoZero"/>
        <c:crossBetween val="midCat"/>
      </c:valAx>
      <c:valAx>
        <c:axId val="178615040"/>
        <c:scaling>
          <c:orientation val="minMax"/>
          <c:max val="100"/>
          <c:min val="60"/>
        </c:scaling>
        <c:delete val="0"/>
        <c:axPos val="l"/>
        <c:majorGridlines/>
        <c:title>
          <c:tx>
            <c:rich>
              <a:bodyPr rot="-5400000" spcFirstLastPara="0" vertOverflow="ellipsis" vert="horz" wrap="square" anchor="ctr" anchorCtr="1"/>
              <a:lstStyle/>
              <a:p>
                <a:pPr>
                  <a:defRPr lang="pl-PL" sz="1400" b="1" i="0" u="none" strike="noStrike" kern="1200" baseline="0">
                    <a:solidFill>
                      <a:schemeClr val="tx1"/>
                    </a:solidFill>
                    <a:latin typeface="+mn-lt"/>
                    <a:ea typeface="+mn-ea"/>
                    <a:cs typeface="+mn-cs"/>
                  </a:defRPr>
                </a:pPr>
                <a:r>
                  <a:rPr lang="en-US" sz="1400"/>
                  <a:t>Efficiency</a:t>
                </a:r>
                <a:r>
                  <a:rPr lang="en-US" sz="1400" baseline="0"/>
                  <a:t> (%)</a:t>
                </a:r>
                <a:endParaRPr lang="en-US" sz="1400"/>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605056"/>
        <c:crosses val="autoZero"/>
        <c:crossBetween val="midCat"/>
      </c:valAx>
      <c:valAx>
        <c:axId val="178635520"/>
        <c:scaling>
          <c:orientation val="minMax"/>
        </c:scaling>
        <c:delete val="1"/>
        <c:axPos val="b"/>
        <c:title>
          <c:tx>
            <c:rich>
              <a:bodyPr rot="0" spcFirstLastPara="0" vertOverflow="ellipsis" vert="horz" wrap="square" anchor="ctr" anchorCtr="1"/>
              <a:lstStyle/>
              <a:p>
                <a:pPr>
                  <a:defRPr lang="pl-PL" sz="1000" b="1" i="0" u="none" strike="noStrike" kern="1200" baseline="0">
                    <a:solidFill>
                      <a:schemeClr val="tx1"/>
                    </a:solidFill>
                    <a:latin typeface="+mn-lt"/>
                    <a:ea typeface="+mn-ea"/>
                    <a:cs typeface="+mn-cs"/>
                  </a:defRPr>
                </a:pPr>
                <a:r>
                  <a:rPr lang="en-US"/>
                  <a:t>Loac</a:t>
                </a:r>
                <a:r>
                  <a:rPr lang="en-US" baseline="0"/>
                  <a:t> Current (A)</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616960"/>
        <c:crosses val="autoZero"/>
        <c:crossBetween val="midCat"/>
      </c:valAx>
      <c:valAx>
        <c:axId val="178616960"/>
        <c:scaling>
          <c:orientation val="minMax"/>
        </c:scaling>
        <c:delete val="0"/>
        <c:axPos val="r"/>
        <c:title>
          <c:tx>
            <c:rich>
              <a:bodyPr rot="-5400000" spcFirstLastPara="0" vertOverflow="ellipsis" vert="horz" wrap="square" anchor="ctr" anchorCtr="1"/>
              <a:lstStyle/>
              <a:p>
                <a:pPr>
                  <a:defRPr lang="pl-PL" sz="1400" b="1" i="0" u="none" strike="noStrike" kern="1200" baseline="0">
                    <a:solidFill>
                      <a:schemeClr val="tx1"/>
                    </a:solidFill>
                    <a:latin typeface="+mn-lt"/>
                    <a:ea typeface="+mn-ea"/>
                    <a:cs typeface="+mn-cs"/>
                  </a:defRPr>
                </a:pPr>
                <a:r>
                  <a:rPr lang="en-US" sz="1400"/>
                  <a:t>Losses</a:t>
                </a:r>
                <a:r>
                  <a:rPr lang="en-US" sz="1400" baseline="0"/>
                  <a:t> (W)</a:t>
                </a:r>
                <a:endParaRPr lang="en-US" sz="1400"/>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crossAx val="178635520"/>
        <c:crosses val="max"/>
        <c:crossBetween val="midCat"/>
      </c:valAx>
    </c:plotArea>
    <c:legend>
      <c:legendPos val="r"/>
      <c:layout>
        <c:manualLayout>
          <c:xMode val="edge"/>
          <c:yMode val="edge"/>
          <c:x val="0.518944039261904"/>
          <c:y val="0.00648622047244094"/>
          <c:w val="0.396095729357041"/>
          <c:h val="0.121836530997006"/>
        </c:manualLayout>
      </c:layout>
      <c:overlay val="1"/>
      <c:txPr>
        <a:bodyPr rot="0" spcFirstLastPara="0" vertOverflow="ellipsis" vert="horz" wrap="square" anchor="ctr" anchorCtr="1"/>
        <a:lstStyle/>
        <a:p>
          <a:pPr>
            <a:defRPr lang="pl-PL"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1d3f89-6278-44e1-9e6e-868c9937126f}"/>
      </c:ext>
    </c:extLst>
  </c:chart>
  <c:spPr>
    <a:ln w="9525" cap="flat" cmpd="sng" algn="ctr">
      <a:noFill/>
      <a:prstDash val="solid"/>
      <a:round/>
    </a:ln>
  </c:spPr>
  <c:txPr>
    <a:bodyPr/>
    <a:lstStyle/>
    <a:p>
      <a:pPr>
        <a:defRPr lang="pl-PL"/>
      </a:pPr>
    </a:p>
  </c:txPr>
  <c:printSettings>
    <c:headerFooter/>
    <c:pageMargins b="0.75" l="0.7" r="0.7" t="0.75" header="0.3" footer="0.3"/>
    <c:pageSetup/>
  </c:printSettings>
</c:chartSpace>
</file>

<file path=xl/ctrlProps/ctrlProp1.xml><?xml version="1.0" encoding="utf-8"?>
<formControlPr xmlns="http://schemas.microsoft.com/office/spreadsheetml/2009/9/main" objectType="Spin" dx="20" fmlaLink="Loop_Modeling!$B$16" max="60" noThreeD="1" page="10" val="4"/>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hyperlink" Target="http://www.ti.com/corp/docs/legal/copyright.shtml" TargetMode="External"/><Relationship Id="rId2" Type="http://schemas.openxmlformats.org/officeDocument/2006/relationships/image" Target="../media/image2.GIF"/><Relationship Id="rId1" Type="http://schemas.openxmlformats.org/officeDocument/2006/relationships/hyperlink" Target="http://www.ti.com" TargetMode="Externa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7" Type="http://schemas.openxmlformats.org/officeDocument/2006/relationships/image" Target="../media/image3.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22860</xdr:colOff>
      <xdr:row>52</xdr:row>
      <xdr:rowOff>1</xdr:rowOff>
    </xdr:from>
    <xdr:to>
      <xdr:col>25</xdr:col>
      <xdr:colOff>598714</xdr:colOff>
      <xdr:row>73</xdr:row>
      <xdr:rowOff>175261</xdr:rowOff>
    </xdr:to>
    <xdr:graphicFrame>
      <xdr:nvGraphicFramePr>
        <xdr:cNvPr id="2" name="Chart 1"/>
        <xdr:cNvGraphicFramePr/>
      </xdr:nvGraphicFramePr>
      <xdr:xfrm>
        <a:off x="5233035" y="11289665"/>
        <a:ext cx="9635490" cy="46043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22861</xdr:colOff>
      <xdr:row>76</xdr:row>
      <xdr:rowOff>7620</xdr:rowOff>
    </xdr:from>
    <xdr:to>
      <xdr:col>25</xdr:col>
      <xdr:colOff>600637</xdr:colOff>
      <xdr:row>100</xdr:row>
      <xdr:rowOff>163286</xdr:rowOff>
    </xdr:to>
    <xdr:graphicFrame>
      <xdr:nvGraphicFramePr>
        <xdr:cNvPr id="6" name="Chart 5"/>
        <xdr:cNvGraphicFramePr/>
      </xdr:nvGraphicFramePr>
      <xdr:xfrm>
        <a:off x="5233035" y="16402685"/>
        <a:ext cx="9635490" cy="49942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7</xdr:col>
          <xdr:colOff>752474</xdr:colOff>
          <xdr:row>58</xdr:row>
          <xdr:rowOff>0</xdr:rowOff>
        </xdr:from>
        <xdr:to>
          <xdr:col>8</xdr:col>
          <xdr:colOff>269327</xdr:colOff>
          <xdr:row>60</xdr:row>
          <xdr:rowOff>0</xdr:rowOff>
        </xdr:to>
        <xdr:sp>
          <xdr:nvSpPr>
            <xdr:cNvPr id="1060" name="Spinner 36" hidden="1">
              <a:extLst>
                <a:ext uri="{63B3BB69-23CF-44E3-9099-C40C66FF867C}">
                  <a14:compatExt spid="_x0000_s1060"/>
                </a:ext>
              </a:extLst>
            </xdr:cNvPr>
            <xdr:cNvSpPr/>
          </xdr:nvSpPr>
          <xdr:spPr>
            <a:xfrm>
              <a:off x="4885690" y="12442190"/>
              <a:ext cx="317500" cy="428625"/>
            </a:xfrm>
            <a:prstGeom prst="rect">
              <a:avLst/>
            </a:prstGeom>
          </xdr:spPr>
        </xdr:sp>
        <xdr:clientData/>
      </xdr:twoCellAnchor>
    </mc:Choice>
    <mc:Fallback/>
  </mc:AlternateContent>
  <xdr:twoCellAnchor>
    <xdr:from>
      <xdr:col>13</xdr:col>
      <xdr:colOff>560313</xdr:colOff>
      <xdr:row>51</xdr:row>
      <xdr:rowOff>62752</xdr:rowOff>
    </xdr:from>
    <xdr:to>
      <xdr:col>15</xdr:col>
      <xdr:colOff>289878</xdr:colOff>
      <xdr:row>53</xdr:row>
      <xdr:rowOff>161363</xdr:rowOff>
    </xdr:to>
    <xdr:sp>
      <xdr:nvSpPr>
        <xdr:cNvPr id="4" name="TextBox 3"/>
        <xdr:cNvSpPr txBox="1"/>
      </xdr:nvSpPr>
      <xdr:spPr>
        <a:xfrm>
          <a:off x="7865745" y="11161395"/>
          <a:ext cx="91059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endParaRPr lang="en-US" sz="2400"/>
        </a:p>
      </xdr:txBody>
    </xdr:sp>
    <xdr:clientData/>
  </xdr:twoCellAnchor>
  <xdr:twoCellAnchor>
    <xdr:from>
      <xdr:col>15</xdr:col>
      <xdr:colOff>130006</xdr:colOff>
      <xdr:row>51</xdr:row>
      <xdr:rowOff>71718</xdr:rowOff>
    </xdr:from>
    <xdr:to>
      <xdr:col>16</xdr:col>
      <xdr:colOff>461700</xdr:colOff>
      <xdr:row>53</xdr:row>
      <xdr:rowOff>170330</xdr:rowOff>
    </xdr:to>
    <xdr:sp textlink="VIN_var">
      <xdr:nvSpPr>
        <xdr:cNvPr id="3" name="TextBox 2"/>
        <xdr:cNvSpPr txBox="1"/>
      </xdr:nvSpPr>
      <xdr:spPr>
        <a:xfrm>
          <a:off x="8616315" y="11170285"/>
          <a:ext cx="922655"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45AF08-B1D6-47C0-A1D9-CF710D8B3736}" type="TxLink">
            <a:rPr lang="en-US" sz="2400" b="0" i="0" u="none" strike="noStrike">
              <a:solidFill>
                <a:srgbClr val="000000"/>
              </a:solidFill>
              <a:latin typeface="Calibri" panose="020F0502020204030204"/>
              <a:cs typeface="Calibri" panose="020F0502020204030204"/>
            </a:rPr>
            <a:t>4</a:t>
          </a:fld>
          <a:endParaRPr lang="en-US" sz="4800"/>
        </a:p>
      </xdr:txBody>
    </xdr:sp>
    <xdr:clientData/>
  </xdr:twoCellAnchor>
  <xdr:twoCellAnchor>
    <xdr:from>
      <xdr:col>16</xdr:col>
      <xdr:colOff>271973</xdr:colOff>
      <xdr:row>51</xdr:row>
      <xdr:rowOff>62752</xdr:rowOff>
    </xdr:from>
    <xdr:to>
      <xdr:col>18</xdr:col>
      <xdr:colOff>11996</xdr:colOff>
      <xdr:row>53</xdr:row>
      <xdr:rowOff>161363</xdr:rowOff>
    </xdr:to>
    <xdr:sp>
      <xdr:nvSpPr>
        <xdr:cNvPr id="12" name="TextBox 11"/>
        <xdr:cNvSpPr txBox="1"/>
      </xdr:nvSpPr>
      <xdr:spPr>
        <a:xfrm>
          <a:off x="9349105" y="11161395"/>
          <a:ext cx="920750" cy="4800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endParaRPr lang="en-US" sz="2400"/>
        </a:p>
      </xdr:txBody>
    </xdr:sp>
    <xdr:clientData/>
  </xdr:twoCellAnchor>
  <xdr:twoCellAnchor>
    <xdr:from>
      <xdr:col>11</xdr:col>
      <xdr:colOff>376517</xdr:colOff>
      <xdr:row>76</xdr:row>
      <xdr:rowOff>26894</xdr:rowOff>
    </xdr:from>
    <xdr:to>
      <xdr:col>13</xdr:col>
      <xdr:colOff>116540</xdr:colOff>
      <xdr:row>78</xdr:row>
      <xdr:rowOff>134470</xdr:rowOff>
    </xdr:to>
    <xdr:sp>
      <xdr:nvSpPr>
        <xdr:cNvPr id="9" name="TextBox 8"/>
        <xdr:cNvSpPr txBox="1"/>
      </xdr:nvSpPr>
      <xdr:spPr>
        <a:xfrm>
          <a:off x="6500495" y="16421735"/>
          <a:ext cx="921385" cy="5168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endParaRPr lang="en-US" sz="2400"/>
        </a:p>
      </xdr:txBody>
    </xdr:sp>
    <xdr:clientData/>
  </xdr:twoCellAnchor>
  <xdr:twoCellAnchor>
    <xdr:from>
      <xdr:col>13</xdr:col>
      <xdr:colOff>67851</xdr:colOff>
      <xdr:row>76</xdr:row>
      <xdr:rowOff>35860</xdr:rowOff>
    </xdr:from>
    <xdr:to>
      <xdr:col>14</xdr:col>
      <xdr:colOff>417475</xdr:colOff>
      <xdr:row>78</xdr:row>
      <xdr:rowOff>143437</xdr:rowOff>
    </xdr:to>
    <xdr:sp textlink="VIN_var">
      <xdr:nvSpPr>
        <xdr:cNvPr id="10" name="TextBox 9"/>
        <xdr:cNvSpPr txBox="1"/>
      </xdr:nvSpPr>
      <xdr:spPr>
        <a:xfrm>
          <a:off x="7372985" y="16430625"/>
          <a:ext cx="940435" cy="5168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B256A8-11FB-4B1E-A1DF-DFACC41BEEAC}" type="TxLink">
            <a:rPr lang="en-US" sz="2400" b="0" i="0" u="none" strike="noStrike">
              <a:solidFill>
                <a:srgbClr val="000000"/>
              </a:solidFill>
              <a:latin typeface="Calibri" panose="020F0502020204030204"/>
              <a:cs typeface="Calibri" panose="020F0502020204030204"/>
            </a:rPr>
            <a:t>4</a:t>
          </a:fld>
          <a:endParaRPr lang="en-US" sz="4800"/>
        </a:p>
      </xdr:txBody>
    </xdr:sp>
    <xdr:clientData/>
  </xdr:twoCellAnchor>
  <xdr:twoCellAnchor>
    <xdr:from>
      <xdr:col>13</xdr:col>
      <xdr:colOff>554332</xdr:colOff>
      <xdr:row>76</xdr:row>
      <xdr:rowOff>26894</xdr:rowOff>
    </xdr:from>
    <xdr:to>
      <xdr:col>15</xdr:col>
      <xdr:colOff>283896</xdr:colOff>
      <xdr:row>78</xdr:row>
      <xdr:rowOff>134470</xdr:rowOff>
    </xdr:to>
    <xdr:sp>
      <xdr:nvSpPr>
        <xdr:cNvPr id="11" name="TextBox 10"/>
        <xdr:cNvSpPr txBox="1"/>
      </xdr:nvSpPr>
      <xdr:spPr>
        <a:xfrm>
          <a:off x="7859395" y="16421735"/>
          <a:ext cx="911225" cy="5168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endParaRPr lang="en-US" sz="2400"/>
        </a:p>
      </xdr:txBody>
    </xdr:sp>
    <xdr:clientData/>
  </xdr:twoCellAnchor>
  <xdr:twoCellAnchor>
    <xdr:from>
      <xdr:col>11</xdr:col>
      <xdr:colOff>89647</xdr:colOff>
      <xdr:row>67</xdr:row>
      <xdr:rowOff>134471</xdr:rowOff>
    </xdr:from>
    <xdr:to>
      <xdr:col>15</xdr:col>
      <xdr:colOff>201684</xdr:colOff>
      <xdr:row>68</xdr:row>
      <xdr:rowOff>114300</xdr:rowOff>
    </xdr:to>
    <xdr:sp textlink="Loop_Modeling!A77">
      <xdr:nvSpPr>
        <xdr:cNvPr id="13" name="TextBox 12"/>
        <xdr:cNvSpPr txBox="1"/>
      </xdr:nvSpPr>
      <xdr:spPr>
        <a:xfrm>
          <a:off x="6214110" y="14481175"/>
          <a:ext cx="2473960" cy="218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7CE13BC-923D-44DF-81B9-035F6847C9BD}" type="TxLink">
            <a:rPr lang="en-US" sz="1100" b="1" i="0" u="none" strike="noStrike">
              <a:solidFill>
                <a:srgbClr val="FF0000"/>
              </a:solidFill>
              <a:latin typeface="Calibri" panose="020F0502020204030204"/>
              <a:cs typeface="Calibri" panose="020F0502020204030204"/>
            </a:rPr>
            <a:t>Crossover Frequency = 1,9 kHz</a:t>
          </a:fld>
          <a:endParaRPr lang="en-US" sz="2400" b="1">
            <a:solidFill>
              <a:srgbClr val="FF0000"/>
            </a:solidFill>
            <a:latin typeface="+mn-lt"/>
            <a:cs typeface="Arial" panose="020B0604020202020204" pitchFamily="7" charset="0"/>
          </a:endParaRPr>
        </a:p>
      </xdr:txBody>
    </xdr:sp>
    <xdr:clientData/>
  </xdr:twoCellAnchor>
  <xdr:twoCellAnchor>
    <xdr:from>
      <xdr:col>11</xdr:col>
      <xdr:colOff>156882</xdr:colOff>
      <xdr:row>69</xdr:row>
      <xdr:rowOff>56030</xdr:rowOff>
    </xdr:from>
    <xdr:to>
      <xdr:col>13</xdr:col>
      <xdr:colOff>202023</xdr:colOff>
      <xdr:row>70</xdr:row>
      <xdr:rowOff>31810</xdr:rowOff>
    </xdr:to>
    <xdr:sp textlink="Loop_Modeling!A78">
      <xdr:nvSpPr>
        <xdr:cNvPr id="14" name="TextBox 13"/>
        <xdr:cNvSpPr txBox="1"/>
      </xdr:nvSpPr>
      <xdr:spPr>
        <a:xfrm>
          <a:off x="6281420" y="14831695"/>
          <a:ext cx="1226185" cy="175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C0E0563-A684-422E-8470-05FA83E0B546}" type="TxLink">
            <a:rPr lang="en-US" sz="1100" b="1" i="0" u="none" strike="noStrike">
              <a:solidFill>
                <a:srgbClr val="002060"/>
              </a:solidFill>
              <a:latin typeface="Calibri" panose="020F0502020204030204"/>
              <a:cs typeface="Calibri" panose="020F0502020204030204"/>
            </a:rPr>
            <a:t>Phase Margin = 69°</a:t>
          </a:fld>
          <a:endParaRPr lang="en-US" sz="2400" b="1">
            <a:solidFill>
              <a:srgbClr val="002060"/>
            </a:solidFill>
          </a:endParaRPr>
        </a:p>
      </xdr:txBody>
    </xdr:sp>
    <xdr:clientData/>
  </xdr:twoCellAnchor>
  <xdr:twoCellAnchor editAs="oneCell">
    <xdr:from>
      <xdr:col>10</xdr:col>
      <xdr:colOff>324970</xdr:colOff>
      <xdr:row>11</xdr:row>
      <xdr:rowOff>59671</xdr:rowOff>
    </xdr:from>
    <xdr:to>
      <xdr:col>25</xdr:col>
      <xdr:colOff>37679</xdr:colOff>
      <xdr:row>33</xdr:row>
      <xdr:rowOff>212911</xdr:rowOff>
    </xdr:to>
    <xdr:pic>
      <xdr:nvPicPr>
        <xdr:cNvPr id="8" name="Picture 7"/>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5858510" y="2661920"/>
          <a:ext cx="8456930" cy="48018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152400</xdr:rowOff>
    </xdr:from>
    <xdr:to>
      <xdr:col>1</xdr:col>
      <xdr:colOff>592455</xdr:colOff>
      <xdr:row>2</xdr:row>
      <xdr:rowOff>83771</xdr:rowOff>
    </xdr:to>
    <xdr:pic>
      <xdr:nvPicPr>
        <xdr:cNvPr id="2" name="Picture 1" descr="ti logo">
          <a:hlinkClick xmlns:r="http://schemas.openxmlformats.org/officeDocument/2006/relationships" r:id="rId1"/>
        </xdr:cNvPr>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0" y="152400"/>
          <a:ext cx="2306955" cy="29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200025</xdr:colOff>
      <xdr:row>0</xdr:row>
      <xdr:rowOff>114300</xdr:rowOff>
    </xdr:from>
    <xdr:ext cx="3752850" cy="381708"/>
    <xdr:sp>
      <xdr:nvSpPr>
        <xdr:cNvPr id="3" name="TextBox 2"/>
        <xdr:cNvSpPr txBox="1"/>
      </xdr:nvSpPr>
      <xdr:spPr>
        <a:xfrm>
          <a:off x="1914525" y="114300"/>
          <a:ext cx="3752850" cy="381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latin typeface="Arial Black" panose="020B0A04020102020204" pitchFamily="34" charset="0"/>
            </a:rPr>
            <a:t>About this tool...</a:t>
          </a:r>
          <a:endParaRPr lang="en-US" sz="1600">
            <a:latin typeface="Arial Black" panose="020B0A04020102020204" pitchFamily="34" charset="0"/>
          </a:endParaRPr>
        </a:p>
      </xdr:txBody>
    </xdr:sp>
    <xdr:clientData/>
  </xdr:oneCellAnchor>
  <xdr:oneCellAnchor>
    <xdr:from>
      <xdr:col>3</xdr:col>
      <xdr:colOff>323850</xdr:colOff>
      <xdr:row>1</xdr:row>
      <xdr:rowOff>28575</xdr:rowOff>
    </xdr:from>
    <xdr:ext cx="4719497" cy="254557"/>
    <xdr:sp>
      <xdr:nvSpPr>
        <xdr:cNvPr id="4" name="TextBox 3">
          <a:hlinkClick xmlns:r="http://schemas.openxmlformats.org/officeDocument/2006/relationships" r:id="rId3"/>
        </xdr:cNvPr>
        <xdr:cNvSpPr txBox="1"/>
      </xdr:nvSpPr>
      <xdr:spPr>
        <a:xfrm>
          <a:off x="6419850" y="209550"/>
          <a:ext cx="4719320"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Arial" panose="020B0604020202020204" pitchFamily="7" charset="0"/>
              <a:ea typeface="+mn-ea"/>
              <a:cs typeface="Arial" panose="020B0604020202020204" pitchFamily="7" charset="0"/>
            </a:rPr>
            <a:t>© Copyright 2024</a:t>
          </a:r>
          <a:r>
            <a:rPr lang="en-US" sz="1100" b="0" i="0">
              <a:solidFill>
                <a:schemeClr val="tx1"/>
              </a:solidFill>
              <a:effectLst/>
              <a:latin typeface="Arial" panose="020B0604020202020204" pitchFamily="7" charset="0"/>
              <a:ea typeface="+mn-ea"/>
              <a:cs typeface="Arial" panose="020B0604020202020204" pitchFamily="7" charset="0"/>
            </a:rPr>
            <a:t> Texas Instruments Incorporated. All rights reserved.</a:t>
          </a:r>
          <a:endParaRPr lang="en-US" sz="1100" b="0">
            <a:latin typeface="Arial" panose="020B0604020202020204" pitchFamily="7" charset="0"/>
            <a:cs typeface="Arial" panose="020B0604020202020204" pitchFamily="7" charset="0"/>
          </a:endParaRPr>
        </a:p>
      </xdr:txBody>
    </xdr:sp>
    <xdr:clientData/>
  </xdr:oneCellAnchor>
  <xdr:oneCellAnchor>
    <xdr:from>
      <xdr:col>0</xdr:col>
      <xdr:colOff>95247</xdr:colOff>
      <xdr:row>6</xdr:row>
      <xdr:rowOff>47623</xdr:rowOff>
    </xdr:from>
    <xdr:ext cx="11229977" cy="4086227"/>
    <xdr:sp>
      <xdr:nvSpPr>
        <xdr:cNvPr id="5" name="TextBox 4"/>
        <xdr:cNvSpPr txBox="1"/>
      </xdr:nvSpPr>
      <xdr:spPr>
        <a:xfrm>
          <a:off x="94615" y="1132840"/>
          <a:ext cx="11229975" cy="408686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latin typeface="Arial" panose="020B0604020202020204" pitchFamily="7" charset="0"/>
              <a:cs typeface="Arial" panose="020B0604020202020204" pitchFamily="7" charset="0"/>
            </a:rPr>
            <a:t>LICENSE INFORMATION:</a:t>
          </a:r>
          <a:endParaRPr lang="en-US" sz="1000" b="1">
            <a:latin typeface="Arial" panose="020B0604020202020204" pitchFamily="7" charset="0"/>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Copyright (c) 2021 Texas Instruments Incorporated</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All rights reserved not granted herein.</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Limited License.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Redistributions must preserve existing copyright notices and reproduce this license (including the above copyright notice and the disclaimer and (if applicable) source code license limitations below) in the documentation and/or other materials provided with the distribution</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Redistribution and use in binary form, without modification, are permitted provided that the following conditions are met:</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No reverse engineering, decompilation, or disassembly of this software is permitted with respect to any software provided in binary form.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Any redistribution and use are licensed by TI for use only with TI Devices.</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Nothing shall obligate TI to provide you with source code for the software licensed and provided to you in object code.</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If software source code is provided to you, modification and redistribution of the source code are permitted provided that the following conditions are met:</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Any redistribution and use of the source code, including any resulting derivative works, are licensed by TI for use only with TI Devices.</a:t>
          </a:r>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	Any redistribution and use of any object code compiled from the source code and any resulting derivative works, are licensed by TI for use only with TI Devices.</a:t>
          </a:r>
          <a:endParaRPr lang="en-US" sz="900">
            <a:solidFill>
              <a:schemeClr val="tx1"/>
            </a:solidFill>
            <a:effectLst/>
            <a:latin typeface="Arial" panose="020B0604020202020204" pitchFamily="7" charset="0"/>
            <a:ea typeface="+mn-ea"/>
            <a:cs typeface="Arial" panose="020B0604020202020204" pitchFamily="7" charset="0"/>
          </a:endParaRPr>
        </a:p>
        <a:p>
          <a:endParaRPr lang="en-US" sz="900">
            <a:solidFill>
              <a:schemeClr val="tx1"/>
            </a:solidFill>
            <a:effectLst/>
            <a:latin typeface="Arial" panose="020B0604020202020204" pitchFamily="7" charset="0"/>
            <a:ea typeface="+mn-ea"/>
            <a:cs typeface="Arial" panose="020B0604020202020204" pitchFamily="7" charset="0"/>
          </a:endParaRPr>
        </a:p>
        <a:p>
          <a:r>
            <a:rPr lang="en-US" sz="900">
              <a:solidFill>
                <a:schemeClr val="tx1"/>
              </a:solidFill>
              <a:effectLst/>
              <a:latin typeface="Arial" panose="020B0604020202020204" pitchFamily="7" charset="0"/>
              <a:ea typeface="+mn-ea"/>
              <a:cs typeface="Arial" panose="020B0604020202020204" pitchFamily="7" charset="0"/>
            </a:rPr>
            <a:t>Neither the name of Texas Instruments Incorporated nor the names of its suppliers may be used to endorse or promote products derived from this software without specific prior written permission.</a:t>
          </a:r>
          <a:endParaRPr lang="en-US" sz="1000" b="1">
            <a:latin typeface="Arial" panose="020B0604020202020204" pitchFamily="7" charset="0"/>
            <a:cs typeface="Arial" panose="020B0604020202020204" pitchFamily="7" charset="0"/>
          </a:endParaRPr>
        </a:p>
        <a:p>
          <a:pPr marL="0" marR="0" indent="0" defTabSz="914400" eaLnBrk="1" fontAlgn="auto" latinLnBrk="0" hangingPunct="1">
            <a:lnSpc>
              <a:spcPct val="100000"/>
            </a:lnSpc>
            <a:spcBef>
              <a:spcPts val="0"/>
            </a:spcBef>
            <a:spcAft>
              <a:spcPts val="0"/>
            </a:spcAft>
            <a:buClrTx/>
            <a:buSzTx/>
            <a:buFontTx/>
            <a:buNone/>
            <a:defRPr/>
          </a:pPr>
          <a:endParaRPr lang="en-US" sz="1000" baseline="0">
            <a:latin typeface="Arial" panose="020B0604020202020204" pitchFamily="7" charset="0"/>
            <a:cs typeface="Arial" panose="020B0604020202020204" pitchFamily="7" charset="0"/>
          </a:endParaRPr>
        </a:p>
        <a:p>
          <a:pPr marL="0" marR="0" indent="0" defTabSz="914400" eaLnBrk="1" fontAlgn="auto" latinLnBrk="0" hangingPunct="1">
            <a:lnSpc>
              <a:spcPct val="100000"/>
            </a:lnSpc>
            <a:spcBef>
              <a:spcPts val="0"/>
            </a:spcBef>
            <a:spcAft>
              <a:spcPts val="0"/>
            </a:spcAft>
            <a:buClrTx/>
            <a:buSzTx/>
            <a:buFontTx/>
            <a:buNone/>
            <a:defRPr/>
          </a:pPr>
          <a:r>
            <a:rPr lang="en-US" sz="1000" b="1" baseline="0">
              <a:latin typeface="Arial" panose="020B0604020202020204" pitchFamily="7" charset="0"/>
              <a:cs typeface="Arial" panose="020B0604020202020204" pitchFamily="7" charset="0"/>
            </a:rPr>
            <a:t>DISCLAMER:</a:t>
          </a:r>
          <a:endParaRPr lang="en-US" sz="1000" b="1" baseline="0">
            <a:latin typeface="Arial" panose="020B0604020202020204" pitchFamily="7" charset="0"/>
            <a:cs typeface="Arial" panose="020B0604020202020204" pitchFamily="7" charset="0"/>
          </a:endParaRPr>
        </a:p>
        <a:p>
          <a:pPr marL="0" marR="0" indent="0" defTabSz="914400" eaLnBrk="1" fontAlgn="auto" latinLnBrk="0" hangingPunct="1">
            <a:lnSpc>
              <a:spcPct val="100000"/>
            </a:lnSpc>
            <a:spcBef>
              <a:spcPts val="0"/>
            </a:spcBef>
            <a:spcAft>
              <a:spcPts val="0"/>
            </a:spcAft>
            <a:buClrTx/>
            <a:buSzTx/>
            <a:buFontTx/>
            <a:buNone/>
            <a:defRPr/>
          </a:pPr>
          <a:r>
            <a:rPr lang="en-US" sz="800" baseline="0">
              <a:latin typeface="Arial" panose="020B0604020202020204" pitchFamily="7" charset="0"/>
              <a:cs typeface="Arial" panose="020B0604020202020204" pitchFamily="7" charset="0"/>
            </a:rPr>
            <a:t>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a:t>
          </a:r>
          <a:endParaRPr lang="en-US" sz="800" baseline="0">
            <a:latin typeface="Arial" panose="020B0604020202020204" pitchFamily="7" charset="0"/>
            <a:cs typeface="Arial" panose="020B0604020202020204" pitchFamily="7" charset="0"/>
          </a:endParaRPr>
        </a:p>
      </xdr:txBody>
    </xdr:sp>
    <xdr:clientData/>
  </xdr:oneCellAnchor>
  <xdr:oneCellAnchor>
    <xdr:from>
      <xdr:col>0</xdr:col>
      <xdr:colOff>95247</xdr:colOff>
      <xdr:row>29</xdr:row>
      <xdr:rowOff>47623</xdr:rowOff>
    </xdr:from>
    <xdr:ext cx="11229977" cy="809627"/>
    <xdr:sp>
      <xdr:nvSpPr>
        <xdr:cNvPr id="6" name="TextBox 5"/>
        <xdr:cNvSpPr txBox="1"/>
      </xdr:nvSpPr>
      <xdr:spPr>
        <a:xfrm>
          <a:off x="94615" y="5295265"/>
          <a:ext cx="11229975" cy="8102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IMPORTANT</a:t>
          </a:r>
          <a:r>
            <a:rPr lang="en-US" sz="1100" b="1" baseline="0">
              <a:solidFill>
                <a:schemeClr val="tx1"/>
              </a:solidFill>
              <a:effectLst/>
              <a:latin typeface="+mn-lt"/>
              <a:ea typeface="+mn-ea"/>
              <a:cs typeface="+mn-cs"/>
            </a:rPr>
            <a:t>:   </a:t>
          </a:r>
          <a:endParaRPr lang="en-US" sz="800">
            <a:effectLst/>
          </a:endParaRPr>
        </a:p>
        <a:p>
          <a:r>
            <a:rPr lang="en-US" sz="1100" baseline="0">
              <a:solidFill>
                <a:schemeClr val="tx1"/>
              </a:solidFill>
              <a:effectLst/>
              <a:latin typeface="+mn-lt"/>
              <a:ea typeface="+mn-ea"/>
              <a:cs typeface="+mn-cs"/>
            </a:rPr>
            <a:t>1.  Do not delete this worksheet!</a:t>
          </a:r>
          <a:endParaRPr lang="en-US" sz="800">
            <a:effectLst/>
          </a:endParaRPr>
        </a:p>
        <a:p>
          <a:pPr eaLnBrk="1" fontAlgn="auto" latinLnBrk="0" hangingPunct="1"/>
          <a:r>
            <a:rPr lang="en-US" sz="1100" baseline="0">
              <a:solidFill>
                <a:schemeClr val="tx1"/>
              </a:solidFill>
              <a:effectLst/>
              <a:latin typeface="+mn-lt"/>
              <a:ea typeface="+mn-ea"/>
              <a:cs typeface="+mn-cs"/>
            </a:rPr>
            <a:t>2.  Redistributions must retain the above copyright and the following disclaimer.</a:t>
          </a:r>
          <a:endParaRPr lang="en-US" sz="800">
            <a:effectLst/>
          </a:endParaRPr>
        </a:p>
        <a:p>
          <a:endParaRPr lang="en-US" sz="800" baseline="0">
            <a:latin typeface="Arial" panose="020B0604020202020204" pitchFamily="7" charset="0"/>
            <a:cs typeface="Arial" panose="020B0604020202020204" pitchFamily="7" charset="0"/>
          </a:endParaRPr>
        </a:p>
      </xdr:txBody>
    </xdr:sp>
    <xdr:clientData/>
  </xdr:oneCellAnchor>
  <xdr:oneCellAnchor>
    <xdr:from>
      <xdr:col>0</xdr:col>
      <xdr:colOff>95247</xdr:colOff>
      <xdr:row>6</xdr:row>
      <xdr:rowOff>47623</xdr:rowOff>
    </xdr:from>
    <xdr:ext cx="11229977" cy="4200527"/>
    <xdr:sp>
      <xdr:nvSpPr>
        <xdr:cNvPr id="7" name="TextBox 6"/>
        <xdr:cNvSpPr txBox="1"/>
      </xdr:nvSpPr>
      <xdr:spPr>
        <a:xfrm>
          <a:off x="94615" y="1132840"/>
          <a:ext cx="11229975" cy="420116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800" b="1" i="0" u="none" strike="noStrike" kern="0" cap="none" spc="0" normalizeH="0" baseline="0" noProof="0">
              <a:ln>
                <a:noFill/>
              </a:ln>
              <a:solidFill>
                <a:sysClr val="windowText" lastClr="000000"/>
              </a:solidFill>
              <a:effectLst/>
              <a:uLnTx/>
              <a:uFillTx/>
              <a:latin typeface="+mn-lt"/>
              <a:ea typeface="+mn-ea"/>
              <a:cs typeface="+mn-cs"/>
            </a:rPr>
            <a:t>IMPORTANT NOTICE AND DISCLAIMER</a:t>
          </a:r>
          <a:endParaRPr kumimoji="0" lang="en-US" sz="18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br>
            <a:rPr kumimoji="0" lang="en-US" sz="10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TI PROVIDES TECHNICAL AND RELIABILITY DATA (INCLUDING DATA SHEETS), DESIGN RESOURCES (INCLUDING REFERENCE</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DESIGNS), APPLICATION OR OTHER DESIGN ADVICE, WEB TOOLS, SAFETY INFORMATION, AND OTHER RESOURCES “AS IS”</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AND WITH ALL FAULTS, AND DISCLAIMS ALL WARRANTIES, EXPRESS AND IMPLIED, INCLUDING WITHOUT LIMITATION ANY</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IMPLIED WARRANTIES OF MERCHANTABILITY, FITNESS FOR A PARTICULAR PURPOSE OR NON-INFRINGEMENT OF THIRD</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PARTY INTELLECTUAL PROPERTY RIGHTS.</a:t>
          </a:r>
          <a:endParaRPr kumimoji="0" lang="en-US"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These resources are intended for skilled developers designing with TI products. You are solely responsible for (1) selecting the appropriate</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TI products for your application, (2) designing, validating and testing your application, and (3) ensuring your application meets applicable</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standards, and any other safety, security, regulatory or other requirements.</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These resources are subject to change without notice. TI grants you permission to use these resources only for development of an</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application that uses the TI products described in the resource. Other reproduction and display of these resources is prohibited. No license</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is granted to any other TI intellectual property right or to any third party intellectual property right. TI disclaims responsibility for, and you</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will fully indemnify TI and its representatives against, any claims, damages, costs, losses, and liabilities arising out of your use of these</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resources.</a:t>
          </a:r>
          <a:endParaRPr kumimoji="0" lang="en-US"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TI’s products are provided subject to TI’s Terms of Sale or other applicable terms available either on ti.com or provided in conjunction with</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such TI products. TI’s provision of these resources does not expand or otherwise alter TI’s applicable warranties or warranty disclaimers for</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TI products.</a:t>
          </a:r>
          <a:endParaRPr kumimoji="0" lang="en-US"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defRPr/>
          </a:pP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TI objects to and rejects any additional or different terms you may have proposed. IMPORTANT NOTICE</a:t>
          </a:r>
          <a:endParaRPr kumimoji="0" lang="en-US"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defRPr/>
          </a:pP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Mailing Address: Texas Instruments, Post Office Box 655303, Dallas, Texas 75265</a:t>
          </a:r>
          <a:br>
            <a:rPr kumimoji="0" lang="en-US" sz="900" b="0" i="0" u="none" strike="noStrike" kern="0" cap="none" spc="0" normalizeH="0" baseline="0" noProof="0">
              <a:ln>
                <a:noFill/>
              </a:ln>
              <a:solidFill>
                <a:sysClr val="windowText" lastClr="000000"/>
              </a:solidFill>
              <a:effectLst/>
              <a:uLnTx/>
              <a:uFillTx/>
              <a:latin typeface="+mn-lt"/>
              <a:ea typeface="+mn-ea"/>
              <a:cs typeface="+mn-cs"/>
            </a:rPr>
          </a:br>
          <a:r>
            <a:rPr kumimoji="0" lang="en-US" sz="1050" b="0" i="0" u="none" strike="noStrike" kern="0" cap="none" spc="0" normalizeH="0" baseline="0" noProof="0">
              <a:ln>
                <a:noFill/>
              </a:ln>
              <a:solidFill>
                <a:sysClr val="windowText" lastClr="000000"/>
              </a:solidFill>
              <a:effectLst/>
              <a:uLnTx/>
              <a:uFillTx/>
              <a:latin typeface="+mn-lt"/>
              <a:ea typeface="+mn-ea"/>
              <a:cs typeface="+mn-cs"/>
            </a:rPr>
            <a:t>Copyright © 2024, Texas Instruments Incorporated</a:t>
          </a:r>
          <a:endParaRPr kumimoji="0" lang="en-US" sz="700" b="0" i="0" u="none" strike="noStrike" kern="0" cap="none" spc="0" normalizeH="0" baseline="0" noProof="0">
            <a:ln>
              <a:noFill/>
            </a:ln>
            <a:solidFill>
              <a:sysClr val="windowText" lastClr="000000"/>
            </a:solidFill>
            <a:effectLst/>
            <a:uLnTx/>
            <a:uFillTx/>
            <a:latin typeface="Arial" panose="020B0604020202020204" pitchFamily="7" charset="0"/>
            <a:ea typeface="+mn-ea"/>
            <a:cs typeface="Arial" panose="020B0604020202020204" pitchFamily="7" charset="0"/>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9</xdr:col>
      <xdr:colOff>505866</xdr:colOff>
      <xdr:row>199</xdr:row>
      <xdr:rowOff>166488</xdr:rowOff>
    </xdr:from>
    <xdr:to>
      <xdr:col>15</xdr:col>
      <xdr:colOff>375236</xdr:colOff>
      <xdr:row>202</xdr:row>
      <xdr:rowOff>52509</xdr:rowOff>
    </xdr:to>
    <xdr:sp>
      <xdr:nvSpPr>
        <xdr:cNvPr id="2" name="TextBox 1"/>
        <xdr:cNvSpPr txBox="1"/>
      </xdr:nvSpPr>
      <xdr:spPr>
        <a:xfrm>
          <a:off x="10039985" y="38262560"/>
          <a:ext cx="369824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explain the placement of the Zero</a:t>
          </a:r>
          <a:r>
            <a:rPr lang="en-US" sz="1100" baseline="0"/>
            <a:t> a little bit better. The pole location should also be based on the location of the zero</a:t>
          </a:r>
          <a:endParaRPr lang="en-US" sz="1100"/>
        </a:p>
      </xdr:txBody>
    </xdr:sp>
    <xdr:clientData/>
  </xdr:twoCellAnchor>
  <xdr:twoCellAnchor>
    <xdr:from>
      <xdr:col>8</xdr:col>
      <xdr:colOff>842683</xdr:colOff>
      <xdr:row>174</xdr:row>
      <xdr:rowOff>17930</xdr:rowOff>
    </xdr:from>
    <xdr:to>
      <xdr:col>14</xdr:col>
      <xdr:colOff>475130</xdr:colOff>
      <xdr:row>184</xdr:row>
      <xdr:rowOff>98613</xdr:rowOff>
    </xdr:to>
    <xdr:sp>
      <xdr:nvSpPr>
        <xdr:cNvPr id="4" name="TextBox 3"/>
        <xdr:cNvSpPr txBox="1"/>
      </xdr:nvSpPr>
      <xdr:spPr>
        <a:xfrm>
          <a:off x="9534525" y="33351470"/>
          <a:ext cx="3703955" cy="1985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Loop</a:t>
          </a:r>
          <a:r>
            <a:rPr lang="en-US" sz="1100" baseline="0"/>
            <a:t> compensation is calculated for the minimum input voltage. This ensure stability over the input votlage range</a:t>
          </a:r>
          <a:endParaRPr 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8</xdr:col>
      <xdr:colOff>375238</xdr:colOff>
      <xdr:row>64</xdr:row>
      <xdr:rowOff>185055</xdr:rowOff>
    </xdr:from>
    <xdr:to>
      <xdr:col>16</xdr:col>
      <xdr:colOff>643009</xdr:colOff>
      <xdr:row>84</xdr:row>
      <xdr:rowOff>3117</xdr:rowOff>
    </xdr:to>
    <xdr:graphicFrame>
      <xdr:nvGraphicFramePr>
        <xdr:cNvPr id="2" name="Chart 1"/>
        <xdr:cNvGraphicFramePr/>
      </xdr:nvGraphicFramePr>
      <xdr:xfrm>
        <a:off x="5175250" y="12786360"/>
        <a:ext cx="5092700" cy="36277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14</xdr:col>
      <xdr:colOff>1051560</xdr:colOff>
      <xdr:row>49</xdr:row>
      <xdr:rowOff>45720</xdr:rowOff>
    </xdr:from>
    <xdr:to>
      <xdr:col>25</xdr:col>
      <xdr:colOff>563880</xdr:colOff>
      <xdr:row>73</xdr:row>
      <xdr:rowOff>19050</xdr:rowOff>
    </xdr:to>
    <xdr:graphicFrame>
      <xdr:nvGraphicFramePr>
        <xdr:cNvPr id="4" name="Chart 3"/>
        <xdr:cNvGraphicFramePr/>
      </xdr:nvGraphicFramePr>
      <xdr:xfrm>
        <a:off x="11138535" y="9675495"/>
        <a:ext cx="7122795" cy="45548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45</xdr:col>
      <xdr:colOff>186690</xdr:colOff>
      <xdr:row>39</xdr:row>
      <xdr:rowOff>167640</xdr:rowOff>
    </xdr:from>
    <xdr:to>
      <xdr:col>47</xdr:col>
      <xdr:colOff>515247</xdr:colOff>
      <xdr:row>45</xdr:row>
      <xdr:rowOff>69932</xdr:rowOff>
    </xdr:to>
    <xdr:pic>
      <xdr:nvPicPr>
        <xdr:cNvPr id="7" name="Picture 6"/>
        <xdr:cNvPicPr>
          <a:picLocks noChangeAspect="1"/>
        </xdr:cNvPicPr>
      </xdr:nvPicPr>
      <xdr:blipFill>
        <a:blip r:embed="rId7"/>
        <a:stretch>
          <a:fillRect/>
        </a:stretch>
      </xdr:blipFill>
      <xdr:spPr>
        <a:xfrm>
          <a:off x="30104715" y="7892415"/>
          <a:ext cx="1804670" cy="1045210"/>
        </a:xfrm>
        <a:prstGeom prst="rect">
          <a:avLst/>
        </a:prstGeom>
      </xdr:spPr>
    </xdr:pic>
    <xdr:clientData/>
  </xdr:twoCellAnchor>
  <xdr:twoCellAnchor editAs="oneCell">
    <xdr:from>
      <xdr:col>47</xdr:col>
      <xdr:colOff>247650</xdr:colOff>
      <xdr:row>40</xdr:row>
      <xdr:rowOff>60960</xdr:rowOff>
    </xdr:from>
    <xdr:to>
      <xdr:col>51</xdr:col>
      <xdr:colOff>567929</xdr:colOff>
      <xdr:row>44</xdr:row>
      <xdr:rowOff>129611</xdr:rowOff>
    </xdr:to>
    <xdr:pic>
      <xdr:nvPicPr>
        <xdr:cNvPr id="8" name="Picture 7"/>
        <xdr:cNvPicPr>
          <a:picLocks noChangeAspect="1"/>
        </xdr:cNvPicPr>
      </xdr:nvPicPr>
      <xdr:blipFill>
        <a:blip r:embed="rId8"/>
        <a:stretch>
          <a:fillRect/>
        </a:stretch>
      </xdr:blipFill>
      <xdr:spPr>
        <a:xfrm>
          <a:off x="31642050" y="7976235"/>
          <a:ext cx="2720340" cy="830580"/>
        </a:xfrm>
        <a:prstGeom prst="rect">
          <a:avLst/>
        </a:prstGeom>
      </xdr:spPr>
    </xdr:pic>
    <xdr:clientData/>
  </xdr:twoCellAnchor>
  <xdr:twoCellAnchor>
    <xdr:from>
      <xdr:col>44</xdr:col>
      <xdr:colOff>30480</xdr:colOff>
      <xdr:row>49</xdr:row>
      <xdr:rowOff>64770</xdr:rowOff>
    </xdr:from>
    <xdr:to>
      <xdr:col>55</xdr:col>
      <xdr:colOff>144780</xdr:colOff>
      <xdr:row>73</xdr:row>
      <xdr:rowOff>38100</xdr:rowOff>
    </xdr:to>
    <xdr:graphicFrame>
      <xdr:nvGraphicFramePr>
        <xdr:cNvPr id="9" name="Chart 8"/>
        <xdr:cNvGraphicFramePr/>
      </xdr:nvGraphicFramePr>
      <xdr:xfrm>
        <a:off x="29348430" y="9694545"/>
        <a:ext cx="6981825" cy="455485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xdr:colOff>
      <xdr:row>21</xdr:row>
      <xdr:rowOff>121920</xdr:rowOff>
    </xdr:from>
    <xdr:to>
      <xdr:col>26</xdr:col>
      <xdr:colOff>45720</xdr:colOff>
      <xdr:row>45</xdr:row>
      <xdr:rowOff>80010</xdr:rowOff>
    </xdr:to>
    <xdr:graphicFrame>
      <xdr:nvGraphicFramePr>
        <xdr:cNvPr id="10" name="Chart 9"/>
        <xdr:cNvGraphicFramePr/>
      </xdr:nvGraphicFramePr>
      <xdr:xfrm>
        <a:off x="11199495" y="4408170"/>
        <a:ext cx="7143750" cy="453961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8325</xdr:colOff>
      <xdr:row>32</xdr:row>
      <xdr:rowOff>8964</xdr:rowOff>
    </xdr:from>
    <xdr:to>
      <xdr:col>11</xdr:col>
      <xdr:colOff>591031</xdr:colOff>
      <xdr:row>40</xdr:row>
      <xdr:rowOff>131269</xdr:rowOff>
    </xdr:to>
    <xdr:sp>
      <xdr:nvSpPr>
        <xdr:cNvPr id="11" name="TextBox 10"/>
        <xdr:cNvSpPr txBox="1"/>
      </xdr:nvSpPr>
      <xdr:spPr>
        <a:xfrm>
          <a:off x="6513830" y="6400165"/>
          <a:ext cx="2363470" cy="1645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0</xdr:colOff>
      <xdr:row>49</xdr:row>
      <xdr:rowOff>13855</xdr:rowOff>
    </xdr:from>
    <xdr:to>
      <xdr:col>12</xdr:col>
      <xdr:colOff>83127</xdr:colOff>
      <xdr:row>60</xdr:row>
      <xdr:rowOff>13855</xdr:rowOff>
    </xdr:to>
    <xdr:sp>
      <xdr:nvSpPr>
        <xdr:cNvPr id="12" name="TextBox 11"/>
        <xdr:cNvSpPr txBox="1"/>
      </xdr:nvSpPr>
      <xdr:spPr>
        <a:xfrm>
          <a:off x="6505575" y="9643110"/>
          <a:ext cx="2463800" cy="2105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error amplifier is the same regardless of the mode of operation</a:t>
          </a:r>
          <a:endParaRPr lang="en-US" sz="1100" baseline="0"/>
        </a:p>
      </xdr:txBody>
    </xdr:sp>
    <xdr:clientData/>
  </xdr:twoCellAnchor>
  <xdr:twoCellAnchor>
    <xdr:from>
      <xdr:col>31</xdr:col>
      <xdr:colOff>313764</xdr:colOff>
      <xdr:row>48</xdr:row>
      <xdr:rowOff>179295</xdr:rowOff>
    </xdr:from>
    <xdr:to>
      <xdr:col>42</xdr:col>
      <xdr:colOff>438673</xdr:colOff>
      <xdr:row>72</xdr:row>
      <xdr:rowOff>152625</xdr:rowOff>
    </xdr:to>
    <xdr:graphicFrame>
      <xdr:nvGraphicFramePr>
        <xdr:cNvPr id="14" name="Chart 13"/>
        <xdr:cNvGraphicFramePr/>
      </xdr:nvGraphicFramePr>
      <xdr:xfrm>
        <a:off x="21602065" y="9618345"/>
        <a:ext cx="6991985" cy="45548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0</xdr:colOff>
      <xdr:row>22</xdr:row>
      <xdr:rowOff>0</xdr:rowOff>
    </xdr:from>
    <xdr:to>
      <xdr:col>42</xdr:col>
      <xdr:colOff>97865</xdr:colOff>
      <xdr:row>45</xdr:row>
      <xdr:rowOff>144855</xdr:rowOff>
    </xdr:to>
    <xdr:graphicFrame>
      <xdr:nvGraphicFramePr>
        <xdr:cNvPr id="15" name="Chart 14"/>
        <xdr:cNvGraphicFramePr/>
      </xdr:nvGraphicFramePr>
      <xdr:xfrm>
        <a:off x="21288375" y="4476750"/>
        <a:ext cx="6965315" cy="45358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0</xdr:colOff>
      <xdr:row>22</xdr:row>
      <xdr:rowOff>0</xdr:rowOff>
    </xdr:from>
    <xdr:to>
      <xdr:col>55</xdr:col>
      <xdr:colOff>269688</xdr:colOff>
      <xdr:row>45</xdr:row>
      <xdr:rowOff>144855</xdr:rowOff>
    </xdr:to>
    <xdr:graphicFrame>
      <xdr:nvGraphicFramePr>
        <xdr:cNvPr id="16" name="Chart 15"/>
        <xdr:cNvGraphicFramePr/>
      </xdr:nvGraphicFramePr>
      <xdr:xfrm>
        <a:off x="29317950" y="4476750"/>
        <a:ext cx="7136765" cy="453580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2</xdr:row>
      <xdr:rowOff>0</xdr:rowOff>
    </xdr:from>
    <xdr:to>
      <xdr:col>3</xdr:col>
      <xdr:colOff>9157</xdr:colOff>
      <xdr:row>3</xdr:row>
      <xdr:rowOff>0</xdr:rowOff>
    </xdr:to>
    <xdr:graphicFrame>
      <xdr:nvGraphicFramePr>
        <xdr:cNvPr id="3" name="Chart 2"/>
        <xdr:cNvGraphicFramePr/>
      </xdr:nvGraphicFramePr>
      <xdr:xfrm>
        <a:off x="1200150" y="381000"/>
        <a:ext cx="9667240" cy="48221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50800</xdr:colOff>
      <xdr:row>1</xdr:row>
      <xdr:rowOff>610854</xdr:rowOff>
    </xdr:from>
    <xdr:to>
      <xdr:col>2</xdr:col>
      <xdr:colOff>3175</xdr:colOff>
      <xdr:row>1</xdr:row>
      <xdr:rowOff>3136990</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50875" y="800735"/>
          <a:ext cx="4705350" cy="25266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pageSetUpPr fitToPage="1"/>
  </sheetPr>
  <dimension ref="A1:AA102"/>
  <sheetViews>
    <sheetView tabSelected="1" zoomScale="115" zoomScaleNormal="115" topLeftCell="A72" workbookViewId="0">
      <selection activeCell="H88" sqref="H88"/>
    </sheetView>
  </sheetViews>
  <sheetFormatPr defaultColWidth="8.85714285714286" defaultRowHeight="15"/>
  <cols>
    <col min="1" max="6" width="8.85714285714286" style="170" customWidth="1"/>
    <col min="7" max="7" width="8.85714285714286" style="171" customWidth="1"/>
    <col min="8" max="8" width="12" style="170" customWidth="1"/>
    <col min="9" max="9" width="4.14285714285714" style="170" customWidth="1"/>
    <col min="10" max="10" width="4.85714285714286" style="170" customWidth="1"/>
    <col min="11" max="20" width="8.85714285714286" style="170" customWidth="1"/>
    <col min="21" max="21" width="8.85714285714286" style="168" customWidth="1"/>
    <col min="22" max="22" width="7.14285714285714" style="170" customWidth="1"/>
    <col min="23" max="26" width="8.85714285714286" style="170" customWidth="1"/>
    <col min="27" max="27" width="1.85714285714286" style="172" customWidth="1"/>
    <col min="28" max="16384" width="8.85714285714286" style="170"/>
  </cols>
  <sheetData>
    <row r="1" ht="46.7" customHeight="1" spans="1:27">
      <c r="A1" s="173"/>
      <c r="B1" s="173"/>
      <c r="C1" s="173"/>
      <c r="D1" s="173"/>
      <c r="E1" s="174" t="s">
        <v>0</v>
      </c>
      <c r="F1" s="173"/>
      <c r="G1" s="175"/>
      <c r="H1" s="173"/>
      <c r="I1" s="173"/>
      <c r="J1" s="173"/>
      <c r="K1" s="173"/>
      <c r="L1" s="173"/>
      <c r="M1" s="173"/>
      <c r="N1" s="173"/>
      <c r="O1" s="173"/>
      <c r="P1" s="173"/>
      <c r="Q1" s="173"/>
      <c r="R1" s="173"/>
      <c r="S1" s="173"/>
      <c r="T1" s="173"/>
      <c r="U1" s="176"/>
      <c r="V1" s="173"/>
      <c r="W1" s="173"/>
      <c r="X1" s="173"/>
      <c r="Y1" s="173"/>
      <c r="Z1" s="173"/>
      <c r="AA1" s="177"/>
    </row>
    <row r="2" s="168" customFormat="1" spans="1:27">
      <c r="A2" s="178"/>
      <c r="B2" s="178"/>
      <c r="C2" s="178"/>
      <c r="D2" s="178"/>
      <c r="E2" s="178"/>
      <c r="F2" s="178"/>
      <c r="G2" s="179"/>
      <c r="H2" s="178"/>
      <c r="I2" s="178"/>
      <c r="J2" s="178"/>
      <c r="K2" s="178"/>
      <c r="L2" s="178"/>
      <c r="M2" s="178"/>
      <c r="N2" s="178"/>
      <c r="O2" s="178"/>
      <c r="P2" s="178"/>
      <c r="Q2" s="178"/>
      <c r="R2" s="178"/>
      <c r="S2" s="178"/>
      <c r="T2" s="178"/>
      <c r="U2" s="178"/>
      <c r="V2" s="178"/>
      <c r="W2" s="178"/>
      <c r="X2" s="178"/>
      <c r="Y2" s="178"/>
      <c r="Z2" s="178"/>
      <c r="AA2" s="180"/>
    </row>
    <row r="3" s="168" customFormat="1" spans="1:27">
      <c r="A3" s="181" t="s">
        <v>1</v>
      </c>
      <c r="B3" s="178"/>
      <c r="C3" s="178"/>
      <c r="D3" s="178"/>
      <c r="E3" s="182"/>
      <c r="F3" s="271" t="s">
        <v>2</v>
      </c>
      <c r="G3" s="179"/>
      <c r="H3" s="178"/>
      <c r="I3" s="178"/>
      <c r="J3" s="178"/>
      <c r="K3" s="178"/>
      <c r="L3" s="178"/>
      <c r="M3" s="178"/>
      <c r="N3" s="178"/>
      <c r="O3" s="183" t="s">
        <v>3</v>
      </c>
      <c r="P3" s="178"/>
      <c r="Q3" s="178"/>
      <c r="R3" s="178"/>
      <c r="S3" s="178"/>
      <c r="T3" s="178"/>
      <c r="U3" s="178"/>
      <c r="V3" s="178"/>
      <c r="W3" s="178"/>
      <c r="X3" s="178"/>
      <c r="Y3" s="178"/>
      <c r="Z3" s="178"/>
      <c r="AA3" s="180"/>
    </row>
    <row r="4" s="169" customFormat="1" spans="1:27">
      <c r="A4" s="184"/>
      <c r="B4" s="184"/>
      <c r="C4" s="184"/>
      <c r="D4" s="184"/>
      <c r="E4" s="184"/>
      <c r="F4" s="184"/>
      <c r="G4" s="185"/>
      <c r="H4" s="184"/>
      <c r="I4" s="184"/>
      <c r="J4" s="184"/>
      <c r="K4" s="184"/>
      <c r="L4" s="184"/>
      <c r="M4" s="184"/>
      <c r="N4" s="184"/>
      <c r="O4" s="184"/>
      <c r="P4" s="184"/>
      <c r="Q4" s="184"/>
      <c r="R4" s="184"/>
      <c r="S4" s="184"/>
      <c r="T4" s="184"/>
      <c r="U4" s="184"/>
      <c r="V4" s="184"/>
      <c r="W4" s="184"/>
      <c r="X4" s="184"/>
      <c r="Y4" s="184"/>
      <c r="Z4" s="184"/>
      <c r="AA4" s="186"/>
    </row>
    <row r="5" spans="1:27">
      <c r="A5" s="187"/>
      <c r="B5" s="187"/>
      <c r="C5" s="187"/>
      <c r="D5" s="187"/>
      <c r="E5" s="187"/>
      <c r="F5" s="187"/>
      <c r="G5" s="188"/>
      <c r="H5" s="187"/>
      <c r="I5" s="187"/>
      <c r="J5" s="187"/>
      <c r="K5" s="187"/>
      <c r="L5" s="187"/>
      <c r="M5" s="187"/>
      <c r="N5" s="187"/>
      <c r="O5" s="187" t="str">
        <f>CONCATENATE("Rev ",Licenses!$B$5)</f>
        <v>Rev 1.0.0</v>
      </c>
      <c r="P5" s="189" t="s">
        <v>4</v>
      </c>
      <c r="Q5" s="187"/>
      <c r="R5" s="187"/>
      <c r="S5" s="187"/>
      <c r="T5" s="187"/>
      <c r="U5" s="190"/>
      <c r="V5" s="187"/>
      <c r="W5" s="187"/>
      <c r="X5" s="187"/>
      <c r="Y5" s="187"/>
      <c r="Z5" s="187"/>
      <c r="AA5" s="177"/>
    </row>
    <row r="6" ht="15.75" spans="1:27">
      <c r="A6" s="191" t="s">
        <v>5</v>
      </c>
      <c r="B6" s="187"/>
      <c r="C6" s="187"/>
      <c r="D6" s="187"/>
      <c r="E6" s="187"/>
      <c r="F6" s="187"/>
      <c r="G6" s="188"/>
      <c r="H6" s="187"/>
      <c r="I6" s="187"/>
      <c r="J6" s="187"/>
      <c r="K6" s="187"/>
      <c r="L6" s="187"/>
      <c r="M6" s="187"/>
      <c r="N6" s="187"/>
      <c r="O6" s="187"/>
      <c r="P6" s="187"/>
      <c r="Q6" s="187"/>
      <c r="R6" s="187"/>
      <c r="S6" s="187"/>
      <c r="T6" s="187"/>
      <c r="U6" s="190"/>
      <c r="V6" s="187"/>
      <c r="W6" s="187"/>
      <c r="X6" s="187"/>
      <c r="Y6" s="187"/>
      <c r="Z6" s="187"/>
      <c r="AA6" s="177"/>
    </row>
    <row r="7" ht="16.5" spans="1:27">
      <c r="A7" s="192"/>
      <c r="B7" s="193"/>
      <c r="C7" s="193"/>
      <c r="D7" s="193"/>
      <c r="E7" s="193"/>
      <c r="F7" s="193"/>
      <c r="G7" s="194" t="s">
        <v>6</v>
      </c>
      <c r="H7" s="195">
        <v>3</v>
      </c>
      <c r="I7" s="196" t="s">
        <v>7</v>
      </c>
      <c r="J7" s="187"/>
      <c r="K7" s="187"/>
      <c r="L7" s="187"/>
      <c r="M7" s="187"/>
      <c r="N7" s="187"/>
      <c r="O7" s="187"/>
      <c r="P7" s="187"/>
      <c r="Q7" s="187"/>
      <c r="R7" s="187"/>
      <c r="S7" s="187"/>
      <c r="T7" s="187"/>
      <c r="U7" s="190"/>
      <c r="V7" s="187"/>
      <c r="W7" s="187"/>
      <c r="X7" s="187"/>
      <c r="Y7" s="187"/>
      <c r="Z7" s="187"/>
      <c r="AA7" s="177"/>
    </row>
    <row r="8" ht="16.5" spans="1:27">
      <c r="A8" s="197"/>
      <c r="B8" s="190"/>
      <c r="C8" s="190"/>
      <c r="D8" s="190"/>
      <c r="E8" s="190"/>
      <c r="F8" s="190"/>
      <c r="G8" s="198" t="s">
        <v>8</v>
      </c>
      <c r="H8" s="199">
        <v>3.7</v>
      </c>
      <c r="I8" s="200" t="s">
        <v>7</v>
      </c>
      <c r="J8" s="187"/>
      <c r="K8" s="187"/>
      <c r="L8" s="187"/>
      <c r="M8" s="187"/>
      <c r="N8" s="187"/>
      <c r="O8" s="187"/>
      <c r="P8" s="187"/>
      <c r="Q8" s="187"/>
      <c r="R8" s="187"/>
      <c r="S8" s="187"/>
      <c r="T8" s="187"/>
      <c r="U8" s="190"/>
      <c r="V8" s="187"/>
      <c r="W8" s="187"/>
      <c r="X8" s="187"/>
      <c r="Y8" s="187"/>
      <c r="Z8" s="187"/>
      <c r="AA8" s="177"/>
    </row>
    <row r="9" ht="16.5" spans="1:27">
      <c r="A9" s="197"/>
      <c r="B9" s="190"/>
      <c r="C9" s="190"/>
      <c r="D9" s="190"/>
      <c r="E9" s="190"/>
      <c r="F9" s="190"/>
      <c r="G9" s="198" t="s">
        <v>9</v>
      </c>
      <c r="H9" s="199">
        <f>4.2*3</f>
        <v>12.6</v>
      </c>
      <c r="I9" s="200" t="s">
        <v>7</v>
      </c>
      <c r="J9" s="187"/>
      <c r="K9" s="187"/>
      <c r="L9" s="187"/>
      <c r="M9" s="187"/>
      <c r="N9" s="187"/>
      <c r="O9" s="187"/>
      <c r="P9" s="187"/>
      <c r="Q9" s="187"/>
      <c r="R9" s="187"/>
      <c r="S9" s="187"/>
      <c r="T9" s="187"/>
      <c r="U9" s="190"/>
      <c r="V9" s="187"/>
      <c r="W9" s="187"/>
      <c r="X9" s="187"/>
      <c r="Y9" s="187"/>
      <c r="Z9" s="187"/>
      <c r="AA9" s="177"/>
    </row>
    <row r="10" ht="16.5" spans="1:27">
      <c r="A10" s="197"/>
      <c r="B10" s="190"/>
      <c r="C10" s="190"/>
      <c r="D10" s="190"/>
      <c r="E10" s="190"/>
      <c r="F10" s="190"/>
      <c r="G10" s="198" t="s">
        <v>10</v>
      </c>
      <c r="H10" s="199">
        <v>10</v>
      </c>
      <c r="I10" s="200" t="s">
        <v>7</v>
      </c>
      <c r="J10" s="187"/>
      <c r="K10" s="187"/>
      <c r="L10" s="187"/>
      <c r="M10" s="187"/>
      <c r="N10" s="187"/>
      <c r="O10" s="187"/>
      <c r="P10" s="187"/>
      <c r="Q10" s="187"/>
      <c r="R10" s="187"/>
      <c r="S10" s="187"/>
      <c r="T10" s="187"/>
      <c r="U10" s="190"/>
      <c r="V10" s="187"/>
      <c r="W10" s="187"/>
      <c r="X10" s="187"/>
      <c r="Y10" s="187"/>
      <c r="Z10" s="187"/>
      <c r="AA10" s="177"/>
    </row>
    <row r="11" ht="16.5" spans="1:27">
      <c r="A11" s="197"/>
      <c r="B11" s="190"/>
      <c r="C11" s="190"/>
      <c r="D11" s="190"/>
      <c r="E11" s="190"/>
      <c r="F11" s="190"/>
      <c r="G11" s="198" t="s">
        <v>11</v>
      </c>
      <c r="H11" s="199">
        <v>2.5</v>
      </c>
      <c r="I11" s="200" t="s">
        <v>12</v>
      </c>
      <c r="J11" s="187"/>
      <c r="K11" s="187"/>
      <c r="L11" s="187"/>
      <c r="M11" s="187"/>
      <c r="N11" s="187"/>
      <c r="O11" s="187"/>
      <c r="P11" s="187"/>
      <c r="Q11" s="187"/>
      <c r="R11" s="187"/>
      <c r="S11" s="187"/>
      <c r="T11" s="187"/>
      <c r="U11" s="190"/>
      <c r="V11" s="187"/>
      <c r="W11" s="187"/>
      <c r="X11" s="187"/>
      <c r="Y11" s="187"/>
      <c r="Z11" s="187"/>
      <c r="AA11" s="177"/>
    </row>
    <row r="12" ht="16.5" spans="1:27">
      <c r="A12" s="197"/>
      <c r="B12" s="190"/>
      <c r="C12" s="190"/>
      <c r="D12" s="190"/>
      <c r="E12" s="190"/>
      <c r="F12" s="190"/>
      <c r="G12" s="198" t="s">
        <v>13</v>
      </c>
      <c r="H12" s="199">
        <v>700</v>
      </c>
      <c r="I12" s="200" t="s">
        <v>14</v>
      </c>
      <c r="J12" s="187"/>
      <c r="K12" s="187"/>
      <c r="L12" s="187"/>
      <c r="M12" s="187"/>
      <c r="N12" s="187"/>
      <c r="O12" s="187"/>
      <c r="P12" s="187"/>
      <c r="Q12" s="187"/>
      <c r="R12" s="187"/>
      <c r="S12" s="187"/>
      <c r="T12" s="187"/>
      <c r="U12" s="190"/>
      <c r="V12" s="187"/>
      <c r="W12" s="187"/>
      <c r="X12" s="187"/>
      <c r="Y12" s="187"/>
      <c r="Z12" s="187"/>
      <c r="AA12" s="177"/>
    </row>
    <row r="13" ht="16.5" spans="1:27">
      <c r="A13" s="197"/>
      <c r="B13" s="190"/>
      <c r="C13" s="190"/>
      <c r="D13" s="190"/>
      <c r="E13" s="190"/>
      <c r="F13" s="190"/>
      <c r="G13" s="198" t="s">
        <v>15</v>
      </c>
      <c r="H13" s="201">
        <f>RT/1000</f>
        <v>19.4392012767176</v>
      </c>
      <c r="I13" s="200" t="s">
        <v>16</v>
      </c>
      <c r="J13" s="187"/>
      <c r="K13" s="187"/>
      <c r="L13" s="187"/>
      <c r="M13" s="187"/>
      <c r="N13" s="187"/>
      <c r="O13" s="187"/>
      <c r="P13" s="187"/>
      <c r="Q13" s="187"/>
      <c r="R13" s="187"/>
      <c r="S13" s="187"/>
      <c r="T13" s="187"/>
      <c r="U13" s="190"/>
      <c r="V13" s="187"/>
      <c r="W13" s="187"/>
      <c r="X13" s="187"/>
      <c r="Y13" s="187"/>
      <c r="Z13" s="187"/>
      <c r="AA13" s="177"/>
    </row>
    <row r="14" ht="16.5" spans="1:27">
      <c r="A14" s="197"/>
      <c r="B14" s="190"/>
      <c r="C14" s="190"/>
      <c r="D14" s="190"/>
      <c r="E14" s="190"/>
      <c r="F14" s="190"/>
      <c r="G14" s="198" t="s">
        <v>17</v>
      </c>
      <c r="H14" s="202">
        <f>POUT</f>
        <v>25</v>
      </c>
      <c r="I14" s="200" t="s">
        <v>18</v>
      </c>
      <c r="J14" s="187"/>
      <c r="K14" s="187"/>
      <c r="L14" s="187"/>
      <c r="M14" s="187"/>
      <c r="N14" s="187"/>
      <c r="O14" s="187"/>
      <c r="P14" s="187"/>
      <c r="Q14" s="187"/>
      <c r="R14" s="187"/>
      <c r="S14" s="187"/>
      <c r="T14" s="187"/>
      <c r="U14" s="190"/>
      <c r="V14" s="187"/>
      <c r="W14" s="187"/>
      <c r="X14" s="187"/>
      <c r="Y14" s="187"/>
      <c r="Z14" s="187"/>
      <c r="AA14" s="177"/>
    </row>
    <row r="15" ht="16.5" spans="1:27">
      <c r="A15" s="203"/>
      <c r="B15" s="204"/>
      <c r="C15" s="204"/>
      <c r="D15" s="204"/>
      <c r="E15" s="204"/>
      <c r="F15" s="190"/>
      <c r="G15" s="205" t="s">
        <v>19</v>
      </c>
      <c r="H15" s="206">
        <f>Dc_max_IC*100</f>
        <v>97</v>
      </c>
      <c r="I15" s="200" t="s">
        <v>20</v>
      </c>
      <c r="J15" s="187"/>
      <c r="K15" s="187"/>
      <c r="L15" s="187"/>
      <c r="M15" s="187"/>
      <c r="N15" s="187"/>
      <c r="O15" s="187"/>
      <c r="P15" s="187"/>
      <c r="Q15" s="187"/>
      <c r="R15" s="187"/>
      <c r="S15" s="187"/>
      <c r="T15" s="187"/>
      <c r="U15" s="190"/>
      <c r="V15" s="187"/>
      <c r="W15" s="187"/>
      <c r="X15" s="187"/>
      <c r="Y15" s="187"/>
      <c r="Z15" s="187"/>
      <c r="AA15" s="177"/>
    </row>
    <row r="16" ht="17.25" spans="1:27">
      <c r="A16" s="207"/>
      <c r="B16" s="208"/>
      <c r="C16" s="208"/>
      <c r="D16" s="208"/>
      <c r="E16" s="208"/>
      <c r="F16" s="209"/>
      <c r="G16" s="210" t="s">
        <v>21</v>
      </c>
      <c r="H16" s="211">
        <f>Variable_Management!B19*100</f>
        <v>76.9230769230769</v>
      </c>
      <c r="I16" s="212" t="s">
        <v>20</v>
      </c>
      <c r="J16" s="187"/>
      <c r="K16" s="187"/>
      <c r="L16" s="187"/>
      <c r="M16" s="187"/>
      <c r="N16" s="187"/>
      <c r="O16" s="187"/>
      <c r="P16" s="187"/>
      <c r="Q16" s="187"/>
      <c r="R16" s="187"/>
      <c r="S16" s="187"/>
      <c r="T16" s="187"/>
      <c r="U16" s="190"/>
      <c r="V16" s="187"/>
      <c r="W16" s="187"/>
      <c r="X16" s="187"/>
      <c r="Y16" s="187"/>
      <c r="Z16" s="187"/>
      <c r="AA16" s="177"/>
    </row>
    <row r="17" spans="1:27">
      <c r="A17" s="204"/>
      <c r="B17" s="213"/>
      <c r="C17" s="213"/>
      <c r="D17" s="213"/>
      <c r="E17" s="204"/>
      <c r="F17" s="187"/>
      <c r="G17" s="188"/>
      <c r="H17" s="187"/>
      <c r="I17" s="187"/>
      <c r="J17" s="187"/>
      <c r="K17" s="187"/>
      <c r="L17" s="187"/>
      <c r="M17" s="187"/>
      <c r="N17" s="187"/>
      <c r="O17" s="187"/>
      <c r="P17" s="187"/>
      <c r="Q17" s="187"/>
      <c r="R17" s="187"/>
      <c r="S17" s="187"/>
      <c r="T17" s="187"/>
      <c r="U17" s="190"/>
      <c r="V17" s="187"/>
      <c r="W17" s="187"/>
      <c r="X17" s="187"/>
      <c r="Y17" s="187"/>
      <c r="Z17" s="187"/>
      <c r="AA17" s="177"/>
    </row>
    <row r="18" ht="15.75" spans="1:27">
      <c r="A18" s="214" t="s">
        <v>22</v>
      </c>
      <c r="B18" s="213"/>
      <c r="C18" s="213"/>
      <c r="D18" s="213"/>
      <c r="E18" s="204"/>
      <c r="F18" s="187"/>
      <c r="G18" s="188"/>
      <c r="H18" s="187"/>
      <c r="I18" s="187"/>
      <c r="J18" s="187"/>
      <c r="K18" s="187"/>
      <c r="L18" s="187"/>
      <c r="M18" s="187"/>
      <c r="N18" s="187"/>
      <c r="O18" s="187"/>
      <c r="P18" s="187"/>
      <c r="Q18" s="187"/>
      <c r="R18" s="187"/>
      <c r="S18" s="187"/>
      <c r="T18" s="187"/>
      <c r="U18" s="190"/>
      <c r="V18" s="187"/>
      <c r="W18" s="187"/>
      <c r="X18" s="187"/>
      <c r="Y18" s="187"/>
      <c r="Z18" s="187"/>
      <c r="AA18" s="177"/>
    </row>
    <row r="19" spans="1:27">
      <c r="A19" s="215"/>
      <c r="B19" s="216"/>
      <c r="C19" s="216"/>
      <c r="D19" s="216"/>
      <c r="E19" s="216"/>
      <c r="F19" s="193"/>
      <c r="G19" s="217" t="s">
        <v>23</v>
      </c>
      <c r="H19" s="218" t="str">
        <f>IF(Variable_Management!B21=0,"CCM","DCM")</f>
        <v>CCM</v>
      </c>
      <c r="I19" s="196"/>
      <c r="J19" s="187"/>
      <c r="K19" s="187"/>
      <c r="L19" s="187"/>
      <c r="M19" s="187"/>
      <c r="N19" s="187"/>
      <c r="O19" s="187"/>
      <c r="P19" s="187"/>
      <c r="Q19" s="187"/>
      <c r="R19" s="187"/>
      <c r="S19" s="187"/>
      <c r="T19" s="187"/>
      <c r="U19" s="190"/>
      <c r="V19" s="187"/>
      <c r="W19" s="187"/>
      <c r="X19" s="187"/>
      <c r="Y19" s="187"/>
      <c r="Z19" s="187"/>
      <c r="AA19" s="177"/>
    </row>
    <row r="20" ht="16.5" spans="1:27">
      <c r="A20" s="203"/>
      <c r="B20" s="204"/>
      <c r="C20" s="204"/>
      <c r="D20" s="204"/>
      <c r="E20" s="204"/>
      <c r="F20" s="190"/>
      <c r="G20" s="198" t="s">
        <v>24</v>
      </c>
      <c r="H20" s="199">
        <v>60</v>
      </c>
      <c r="I20" s="200" t="s">
        <v>20</v>
      </c>
      <c r="J20" s="187"/>
      <c r="K20" s="187"/>
      <c r="L20" s="187"/>
      <c r="M20" s="187"/>
      <c r="N20" s="187"/>
      <c r="O20" s="187"/>
      <c r="P20" s="187"/>
      <c r="Q20" s="187"/>
      <c r="R20" s="187"/>
      <c r="S20" s="187"/>
      <c r="T20" s="187"/>
      <c r="U20" s="190"/>
      <c r="V20" s="187"/>
      <c r="W20" s="187"/>
      <c r="X20" s="187"/>
      <c r="Y20" s="187"/>
      <c r="Z20" s="187"/>
      <c r="AA20" s="177"/>
    </row>
    <row r="21" ht="16.5" spans="1:27">
      <c r="A21" s="197"/>
      <c r="B21" s="190"/>
      <c r="C21" s="190"/>
      <c r="D21" s="190"/>
      <c r="E21" s="190"/>
      <c r="F21" s="190"/>
      <c r="G21" s="198" t="s">
        <v>25</v>
      </c>
      <c r="H21" s="219">
        <f>Variable_Management!B38*10^6</f>
        <v>0.475842891901286</v>
      </c>
      <c r="I21" s="200" t="s">
        <v>26</v>
      </c>
      <c r="J21" s="187"/>
      <c r="K21" s="187"/>
      <c r="L21" s="187"/>
      <c r="M21" s="187"/>
      <c r="N21" s="187"/>
      <c r="O21" s="187"/>
      <c r="P21" s="187"/>
      <c r="Q21" s="187"/>
      <c r="R21" s="187"/>
      <c r="S21" s="187"/>
      <c r="T21" s="187"/>
      <c r="U21" s="190"/>
      <c r="V21" s="187"/>
      <c r="W21" s="187"/>
      <c r="X21" s="187"/>
      <c r="Y21" s="187"/>
      <c r="Z21" s="187"/>
      <c r="AA21" s="177"/>
    </row>
    <row r="22" ht="16.5" spans="1:27">
      <c r="A22" s="197"/>
      <c r="B22" s="190"/>
      <c r="C22" s="190"/>
      <c r="D22" s="190"/>
      <c r="E22" s="190"/>
      <c r="F22" s="190"/>
      <c r="G22" s="198" t="s">
        <v>27</v>
      </c>
      <c r="H22" s="199">
        <v>10</v>
      </c>
      <c r="I22" s="200" t="s">
        <v>26</v>
      </c>
      <c r="J22" s="187"/>
      <c r="K22" s="187"/>
      <c r="L22" s="187"/>
      <c r="M22" s="187"/>
      <c r="N22" s="187"/>
      <c r="O22" s="187"/>
      <c r="P22" s="187"/>
      <c r="Q22" s="187"/>
      <c r="R22" s="187"/>
      <c r="S22" s="187"/>
      <c r="T22" s="187"/>
      <c r="U22" s="190"/>
      <c r="V22" s="187"/>
      <c r="W22" s="187"/>
      <c r="X22" s="187"/>
      <c r="Y22" s="187"/>
      <c r="Z22" s="187"/>
      <c r="AA22" s="177"/>
    </row>
    <row r="23" ht="17.25" spans="1:27">
      <c r="A23" s="220"/>
      <c r="B23" s="209"/>
      <c r="C23" s="209"/>
      <c r="D23" s="209"/>
      <c r="E23" s="209"/>
      <c r="F23" s="209"/>
      <c r="G23" s="221" t="s">
        <v>28</v>
      </c>
      <c r="H23" s="222">
        <f>ISW_peak_VIN_min</f>
        <v>11.1630036630037</v>
      </c>
      <c r="I23" s="212" t="s">
        <v>12</v>
      </c>
      <c r="J23" s="187"/>
      <c r="K23" s="187"/>
      <c r="L23" s="187"/>
      <c r="M23" s="187"/>
      <c r="N23" s="187"/>
      <c r="O23" s="187"/>
      <c r="P23" s="187"/>
      <c r="Q23" s="187"/>
      <c r="R23" s="187"/>
      <c r="S23" s="187"/>
      <c r="T23" s="187"/>
      <c r="U23" s="190"/>
      <c r="V23" s="187"/>
      <c r="W23" s="187"/>
      <c r="X23" s="187"/>
      <c r="Y23" s="187"/>
      <c r="Z23" s="187"/>
      <c r="AA23" s="177"/>
    </row>
    <row r="24" spans="1:27">
      <c r="A24" s="187"/>
      <c r="B24" s="187"/>
      <c r="C24" s="187"/>
      <c r="D24" s="187"/>
      <c r="E24" s="187"/>
      <c r="F24" s="187"/>
      <c r="G24" s="188"/>
      <c r="H24" s="187"/>
      <c r="I24" s="187"/>
      <c r="J24" s="187"/>
      <c r="K24" s="187"/>
      <c r="L24" s="187"/>
      <c r="M24" s="187"/>
      <c r="N24" s="187"/>
      <c r="O24" s="187"/>
      <c r="P24" s="187"/>
      <c r="Q24" s="187"/>
      <c r="R24" s="187"/>
      <c r="S24" s="187"/>
      <c r="T24" s="187"/>
      <c r="U24" s="190"/>
      <c r="V24" s="187"/>
      <c r="W24" s="187"/>
      <c r="X24" s="187"/>
      <c r="Y24" s="187"/>
      <c r="Z24" s="187"/>
      <c r="AA24" s="177"/>
    </row>
    <row r="25" ht="15.75" spans="1:27">
      <c r="A25" s="214" t="s">
        <v>29</v>
      </c>
      <c r="B25" s="187"/>
      <c r="C25" s="187"/>
      <c r="D25" s="187"/>
      <c r="E25" s="187"/>
      <c r="F25" s="187"/>
      <c r="G25" s="188"/>
      <c r="H25" s="187"/>
      <c r="I25" s="187"/>
      <c r="J25" s="187"/>
      <c r="K25" s="187"/>
      <c r="L25" s="187"/>
      <c r="M25" s="187"/>
      <c r="N25" s="187"/>
      <c r="O25" s="187"/>
      <c r="P25" s="187"/>
      <c r="Q25" s="187"/>
      <c r="R25" s="187"/>
      <c r="S25" s="187"/>
      <c r="T25" s="187"/>
      <c r="U25" s="190"/>
      <c r="V25" s="187"/>
      <c r="W25" s="187"/>
      <c r="X25" s="187"/>
      <c r="Y25" s="187"/>
      <c r="Z25" s="187"/>
      <c r="AA25" s="177"/>
    </row>
    <row r="26" spans="1:27">
      <c r="A26" s="192"/>
      <c r="B26" s="193"/>
      <c r="C26" s="193"/>
      <c r="D26" s="193"/>
      <c r="E26" s="193"/>
      <c r="F26" s="193"/>
      <c r="G26" s="194" t="s">
        <v>30</v>
      </c>
      <c r="H26" s="195">
        <v>30</v>
      </c>
      <c r="I26" s="196" t="s">
        <v>20</v>
      </c>
      <c r="J26" s="187"/>
      <c r="K26" s="187"/>
      <c r="L26" s="187"/>
      <c r="M26" s="187"/>
      <c r="N26" s="187"/>
      <c r="O26" s="187"/>
      <c r="P26" s="187"/>
      <c r="Q26" s="187"/>
      <c r="R26" s="187"/>
      <c r="S26" s="187"/>
      <c r="T26" s="187"/>
      <c r="U26" s="190"/>
      <c r="V26" s="187"/>
      <c r="W26" s="187"/>
      <c r="X26" s="187"/>
      <c r="Y26" s="187"/>
      <c r="Z26" s="187"/>
      <c r="AA26" s="177"/>
    </row>
    <row r="27" ht="18.75" spans="1:27">
      <c r="A27" s="197"/>
      <c r="B27" s="190"/>
      <c r="C27" s="190"/>
      <c r="D27" s="190"/>
      <c r="E27" s="190"/>
      <c r="F27" s="190"/>
      <c r="G27" s="223" t="s">
        <v>31</v>
      </c>
      <c r="H27" s="201">
        <f>Ipk_selected</f>
        <v>14.5119047619048</v>
      </c>
      <c r="I27" s="200" t="s">
        <v>12</v>
      </c>
      <c r="J27" s="187"/>
      <c r="K27" s="187"/>
      <c r="L27" s="187"/>
      <c r="M27" s="187"/>
      <c r="N27" s="187"/>
      <c r="O27" s="187"/>
      <c r="P27" s="187"/>
      <c r="Q27" s="187"/>
      <c r="R27" s="187"/>
      <c r="S27" s="187"/>
      <c r="T27" s="187"/>
      <c r="U27" s="190"/>
      <c r="V27" s="187"/>
      <c r="W27" s="187"/>
      <c r="X27" s="187"/>
      <c r="Y27" s="187"/>
      <c r="Z27" s="187"/>
      <c r="AA27" s="177"/>
    </row>
    <row r="28" ht="18.75" spans="1:27">
      <c r="A28" s="197"/>
      <c r="B28" s="190"/>
      <c r="C28" s="190"/>
      <c r="D28" s="190"/>
      <c r="E28" s="190"/>
      <c r="F28" s="190"/>
      <c r="G28" s="223" t="s">
        <v>32</v>
      </c>
      <c r="H28" s="201">
        <f>Variable_Management!B115*1000</f>
        <v>10.7497949138638</v>
      </c>
      <c r="I28" s="200" t="s">
        <v>33</v>
      </c>
      <c r="J28" s="187"/>
      <c r="K28" s="187"/>
      <c r="L28" s="187"/>
      <c r="M28" s="187"/>
      <c r="N28" s="187"/>
      <c r="O28" s="187"/>
      <c r="P28" s="187"/>
      <c r="Q28" s="187"/>
      <c r="R28" s="187"/>
      <c r="S28" s="187"/>
      <c r="T28" s="187"/>
      <c r="U28" s="190"/>
      <c r="V28" s="187"/>
      <c r="W28" s="187"/>
      <c r="X28" s="187"/>
      <c r="Y28" s="187"/>
      <c r="Z28" s="187"/>
      <c r="AA28" s="177"/>
    </row>
    <row r="29" ht="18.75" spans="1:27">
      <c r="A29" s="197"/>
      <c r="B29" s="190"/>
      <c r="C29" s="190"/>
      <c r="D29" s="190"/>
      <c r="E29" s="190"/>
      <c r="F29" s="190"/>
      <c r="G29" s="223" t="s">
        <v>34</v>
      </c>
      <c r="H29" s="224">
        <f>Variable_Management!B116</f>
        <v>0</v>
      </c>
      <c r="I29" s="225" t="s">
        <v>35</v>
      </c>
      <c r="J29" s="187"/>
      <c r="K29" s="187"/>
      <c r="L29" s="187"/>
      <c r="M29" s="187"/>
      <c r="N29" s="187"/>
      <c r="O29" s="187"/>
      <c r="P29" s="187"/>
      <c r="Q29" s="187"/>
      <c r="R29" s="187"/>
      <c r="S29" s="187"/>
      <c r="T29" s="187"/>
      <c r="U29" s="190"/>
      <c r="V29" s="187"/>
      <c r="W29" s="187"/>
      <c r="X29" s="187"/>
      <c r="Y29" s="187"/>
      <c r="Z29" s="187"/>
      <c r="AA29" s="177"/>
    </row>
    <row r="30" ht="18.75" spans="1:27">
      <c r="A30" s="197"/>
      <c r="B30" s="190"/>
      <c r="C30" s="190"/>
      <c r="D30" s="190"/>
      <c r="E30" s="190"/>
      <c r="F30" s="190"/>
      <c r="G30" s="223" t="s">
        <v>36</v>
      </c>
      <c r="H30" s="199">
        <v>10</v>
      </c>
      <c r="I30" s="200" t="s">
        <v>33</v>
      </c>
      <c r="J30" s="187"/>
      <c r="K30" s="187"/>
      <c r="L30" s="187"/>
      <c r="M30" s="187"/>
      <c r="N30" s="187"/>
      <c r="O30" s="187"/>
      <c r="P30" s="187"/>
      <c r="Q30" s="187"/>
      <c r="R30" s="187"/>
      <c r="S30" s="187"/>
      <c r="T30" s="187"/>
      <c r="U30" s="190"/>
      <c r="V30" s="187"/>
      <c r="W30" s="187"/>
      <c r="X30" s="187"/>
      <c r="Y30" s="187"/>
      <c r="Z30" s="187"/>
      <c r="AA30" s="177"/>
    </row>
    <row r="31" ht="18.75" spans="1:27">
      <c r="A31" s="197"/>
      <c r="B31" s="190"/>
      <c r="C31" s="190"/>
      <c r="D31" s="190"/>
      <c r="E31" s="190"/>
      <c r="F31" s="190"/>
      <c r="G31" s="223" t="s">
        <v>37</v>
      </c>
      <c r="H31" s="199">
        <v>0</v>
      </c>
      <c r="I31" s="225" t="s">
        <v>35</v>
      </c>
      <c r="J31" s="187"/>
      <c r="K31" s="187"/>
      <c r="L31" s="187"/>
      <c r="M31" s="187"/>
      <c r="N31" s="187"/>
      <c r="O31" s="187"/>
      <c r="P31" s="187"/>
      <c r="Q31" s="187"/>
      <c r="R31" s="187"/>
      <c r="S31" s="187"/>
      <c r="T31" s="187"/>
      <c r="U31" s="190"/>
      <c r="V31" s="187"/>
      <c r="W31" s="187"/>
      <c r="X31" s="187"/>
      <c r="Y31" s="187"/>
      <c r="Z31" s="187"/>
      <c r="AA31" s="177"/>
    </row>
    <row r="32" ht="15.75" spans="1:27">
      <c r="A32" s="220"/>
      <c r="B32" s="209"/>
      <c r="C32" s="209"/>
      <c r="D32" s="209"/>
      <c r="E32" s="209"/>
      <c r="F32" s="209"/>
      <c r="G32" s="226" t="s">
        <v>38</v>
      </c>
      <c r="H32" s="227">
        <f>IL_pk_max</f>
        <v>15.6</v>
      </c>
      <c r="I32" s="228" t="s">
        <v>12</v>
      </c>
      <c r="J32" s="187"/>
      <c r="K32" s="187"/>
      <c r="L32" s="187"/>
      <c r="M32" s="187"/>
      <c r="N32" s="187"/>
      <c r="O32" s="187"/>
      <c r="P32" s="187"/>
      <c r="Q32" s="187"/>
      <c r="R32" s="187"/>
      <c r="S32" s="187"/>
      <c r="T32" s="187"/>
      <c r="U32" s="190"/>
      <c r="V32" s="187"/>
      <c r="W32" s="187"/>
      <c r="X32" s="187"/>
      <c r="Y32" s="187"/>
      <c r="Z32" s="187"/>
      <c r="AA32" s="177"/>
    </row>
    <row r="33" spans="1:27">
      <c r="A33" s="187"/>
      <c r="B33" s="187"/>
      <c r="C33" s="187"/>
      <c r="D33" s="187"/>
      <c r="E33" s="187"/>
      <c r="F33" s="187"/>
      <c r="G33" s="188"/>
      <c r="H33" s="187"/>
      <c r="I33" s="187"/>
      <c r="J33" s="187"/>
      <c r="K33" s="187"/>
      <c r="L33" s="187"/>
      <c r="M33" s="187"/>
      <c r="N33" s="187"/>
      <c r="O33" s="187"/>
      <c r="P33" s="187"/>
      <c r="Q33" s="187"/>
      <c r="R33" s="187"/>
      <c r="S33" s="187"/>
      <c r="T33" s="187"/>
      <c r="U33" s="190"/>
      <c r="V33" s="187"/>
      <c r="W33" s="187"/>
      <c r="X33" s="187"/>
      <c r="Y33" s="187"/>
      <c r="Z33" s="187"/>
      <c r="AA33" s="177"/>
    </row>
    <row r="34" ht="19.5" spans="1:27">
      <c r="A34" s="214" t="s">
        <v>39</v>
      </c>
      <c r="B34" s="187"/>
      <c r="C34" s="187"/>
      <c r="D34" s="187"/>
      <c r="E34" s="187"/>
      <c r="F34" s="187"/>
      <c r="G34" s="188"/>
      <c r="H34" s="187"/>
      <c r="I34" s="187"/>
      <c r="J34" s="187"/>
      <c r="K34" s="187"/>
      <c r="L34" s="187"/>
      <c r="M34" s="187"/>
      <c r="N34" s="187"/>
      <c r="O34" s="187"/>
      <c r="P34" s="187"/>
      <c r="Q34" s="187"/>
      <c r="R34" s="187"/>
      <c r="S34" s="187"/>
      <c r="T34" s="187"/>
      <c r="U34" s="190"/>
      <c r="V34" s="187"/>
      <c r="W34" s="187"/>
      <c r="X34" s="187"/>
      <c r="Y34" s="187"/>
      <c r="Z34" s="187"/>
      <c r="AA34" s="177"/>
    </row>
    <row r="35" ht="18.75" spans="1:27">
      <c r="A35" s="192"/>
      <c r="B35" s="193"/>
      <c r="C35" s="193"/>
      <c r="D35" s="193"/>
      <c r="E35" s="193"/>
      <c r="F35" s="193"/>
      <c r="G35" s="229" t="s">
        <v>40</v>
      </c>
      <c r="H35" s="230">
        <f>Cac_min*(10^6)</f>
        <v>4.36071864643293</v>
      </c>
      <c r="I35" s="196" t="s">
        <v>41</v>
      </c>
      <c r="J35" s="187"/>
      <c r="K35" s="187"/>
      <c r="L35" s="187"/>
      <c r="M35" s="187"/>
      <c r="N35" s="187"/>
      <c r="O35" s="187"/>
      <c r="P35" s="187"/>
      <c r="Q35" s="187"/>
      <c r="R35" s="187"/>
      <c r="S35" s="187"/>
      <c r="T35" s="187"/>
      <c r="U35" s="190"/>
      <c r="V35" s="187"/>
      <c r="W35" s="187"/>
      <c r="X35" s="187"/>
      <c r="Y35" s="187"/>
      <c r="Z35" s="187"/>
      <c r="AA35" s="177"/>
    </row>
    <row r="36" ht="18.75" spans="1:27">
      <c r="A36" s="197"/>
      <c r="B36" s="190"/>
      <c r="C36" s="190"/>
      <c r="D36" s="190"/>
      <c r="E36" s="190"/>
      <c r="F36" s="190"/>
      <c r="G36" s="223" t="s">
        <v>42</v>
      </c>
      <c r="H36" s="199">
        <v>10</v>
      </c>
      <c r="I36" s="200" t="s">
        <v>41</v>
      </c>
      <c r="J36" s="187"/>
      <c r="K36" s="187"/>
      <c r="L36" s="187"/>
      <c r="M36" s="187"/>
      <c r="N36" s="187"/>
      <c r="O36" s="187"/>
      <c r="P36" s="187"/>
      <c r="Q36" s="187"/>
      <c r="R36" s="187"/>
      <c r="S36" s="187"/>
      <c r="T36" s="187"/>
      <c r="U36" s="190"/>
      <c r="V36" s="187"/>
      <c r="W36" s="187"/>
      <c r="X36" s="187"/>
      <c r="Y36" s="187"/>
      <c r="Z36" s="187"/>
      <c r="AA36" s="177"/>
    </row>
    <row r="37" ht="19.5" spans="1:27">
      <c r="A37" s="220"/>
      <c r="B37" s="209"/>
      <c r="C37" s="209"/>
      <c r="D37" s="209"/>
      <c r="E37" s="209"/>
      <c r="F37" s="209"/>
      <c r="G37" s="226" t="s">
        <v>43</v>
      </c>
      <c r="H37" s="227">
        <f>Variable_Management!B134</f>
        <v>4.56435464587638</v>
      </c>
      <c r="I37" s="212" t="s">
        <v>12</v>
      </c>
      <c r="J37" s="187"/>
      <c r="K37" s="187"/>
      <c r="L37" s="187"/>
      <c r="M37" s="187"/>
      <c r="N37" s="187"/>
      <c r="O37" s="187"/>
      <c r="P37" s="187"/>
      <c r="Q37" s="187"/>
      <c r="R37" s="187"/>
      <c r="S37" s="187"/>
      <c r="T37" s="187"/>
      <c r="U37" s="190"/>
      <c r="V37" s="187"/>
      <c r="W37" s="187"/>
      <c r="X37" s="187"/>
      <c r="Y37" s="187"/>
      <c r="Z37" s="187"/>
      <c r="AA37" s="177"/>
    </row>
    <row r="38" spans="1:27">
      <c r="A38" s="187"/>
      <c r="B38" s="187"/>
      <c r="C38" s="187"/>
      <c r="D38" s="187"/>
      <c r="E38" s="187"/>
      <c r="F38" s="187"/>
      <c r="G38" s="188"/>
      <c r="H38" s="187"/>
      <c r="I38" s="187"/>
      <c r="J38" s="187"/>
      <c r="K38" s="187"/>
      <c r="L38" s="187"/>
      <c r="M38" s="187"/>
      <c r="N38" s="187"/>
      <c r="O38" s="187"/>
      <c r="P38" s="187"/>
      <c r="Q38" s="187"/>
      <c r="R38" s="187"/>
      <c r="S38" s="187"/>
      <c r="T38" s="187"/>
      <c r="U38" s="190"/>
      <c r="V38" s="187"/>
      <c r="W38" s="187"/>
      <c r="X38" s="187"/>
      <c r="Y38" s="187"/>
      <c r="Z38" s="187"/>
      <c r="AA38" s="177"/>
    </row>
    <row r="39" ht="15.75" spans="1:27">
      <c r="A39" s="214" t="s">
        <v>44</v>
      </c>
      <c r="B39" s="187"/>
      <c r="C39" s="187"/>
      <c r="D39" s="187"/>
      <c r="E39" s="187"/>
      <c r="F39" s="187"/>
      <c r="G39" s="188"/>
      <c r="H39" s="187"/>
      <c r="I39" s="187"/>
      <c r="J39" s="187"/>
      <c r="K39" s="187"/>
      <c r="L39" s="187"/>
      <c r="M39" s="187"/>
      <c r="N39" s="187"/>
      <c r="O39" s="187"/>
      <c r="P39" s="187"/>
      <c r="Q39" s="187"/>
      <c r="R39" s="187"/>
      <c r="S39" s="187"/>
      <c r="T39" s="187"/>
      <c r="U39" s="190"/>
      <c r="V39" s="187"/>
      <c r="W39" s="187"/>
      <c r="X39" s="187"/>
      <c r="Y39" s="187"/>
      <c r="Z39" s="187"/>
      <c r="AA39" s="177"/>
    </row>
    <row r="40" ht="18.75" spans="1:27">
      <c r="A40" s="192"/>
      <c r="B40" s="193"/>
      <c r="C40" s="193"/>
      <c r="D40" s="193"/>
      <c r="E40" s="193"/>
      <c r="F40" s="193"/>
      <c r="G40" s="229" t="s">
        <v>45</v>
      </c>
      <c r="H40" s="195">
        <v>500</v>
      </c>
      <c r="I40" s="196" t="s">
        <v>46</v>
      </c>
      <c r="J40" s="187"/>
      <c r="K40" s="187"/>
      <c r="L40" s="187"/>
      <c r="M40" s="187"/>
      <c r="N40" s="187"/>
      <c r="O40" s="187"/>
      <c r="P40" s="187"/>
      <c r="Q40" s="187"/>
      <c r="R40" s="187"/>
      <c r="S40" s="187"/>
      <c r="T40" s="187"/>
      <c r="U40" s="190"/>
      <c r="V40" s="187"/>
      <c r="W40" s="187"/>
      <c r="X40" s="187"/>
      <c r="Y40" s="187"/>
      <c r="Z40" s="187"/>
      <c r="AA40" s="177"/>
    </row>
    <row r="41" spans="1:27">
      <c r="A41" s="197"/>
      <c r="B41" s="190"/>
      <c r="C41" s="190"/>
      <c r="D41" s="190"/>
      <c r="E41" s="190"/>
      <c r="F41" s="190"/>
      <c r="G41" s="223" t="s">
        <v>47</v>
      </c>
      <c r="H41" s="201">
        <f>Cout_min*10^6</f>
        <v>541.666666666667</v>
      </c>
      <c r="I41" s="200" t="s">
        <v>41</v>
      </c>
      <c r="J41" s="187"/>
      <c r="K41" s="187"/>
      <c r="L41" s="187"/>
      <c r="M41" s="187"/>
      <c r="N41" s="187"/>
      <c r="O41" s="187"/>
      <c r="P41" s="187"/>
      <c r="Q41" s="187"/>
      <c r="R41" s="187"/>
      <c r="S41" s="187"/>
      <c r="T41" s="187"/>
      <c r="U41" s="190"/>
      <c r="V41" s="187"/>
      <c r="W41" s="187"/>
      <c r="X41" s="187"/>
      <c r="Y41" s="187"/>
      <c r="Z41" s="187"/>
      <c r="AA41" s="177"/>
    </row>
    <row r="42" ht="18.75" spans="1:27">
      <c r="A42" s="197"/>
      <c r="B42" s="190"/>
      <c r="C42" s="190"/>
      <c r="D42" s="190"/>
      <c r="E42" s="190"/>
      <c r="F42" s="190"/>
      <c r="G42" s="223" t="s">
        <v>48</v>
      </c>
      <c r="H42" s="201">
        <f>IRMS_COUT</f>
        <v>4.56435464587638</v>
      </c>
      <c r="I42" s="200" t="s">
        <v>12</v>
      </c>
      <c r="J42" s="187"/>
      <c r="K42" s="187"/>
      <c r="L42" s="187"/>
      <c r="M42" s="187"/>
      <c r="N42" s="187"/>
      <c r="O42" s="187"/>
      <c r="P42" s="187"/>
      <c r="Q42" s="187"/>
      <c r="R42" s="187"/>
      <c r="S42" s="187"/>
      <c r="T42" s="187"/>
      <c r="U42" s="190"/>
      <c r="V42" s="187"/>
      <c r="W42" s="187"/>
      <c r="X42" s="187"/>
      <c r="Y42" s="187"/>
      <c r="Z42" s="187"/>
      <c r="AA42" s="177"/>
    </row>
    <row r="43" ht="18.75" spans="1:27">
      <c r="A43" s="197"/>
      <c r="B43" s="190"/>
      <c r="C43" s="190"/>
      <c r="D43" s="190"/>
      <c r="E43" s="190"/>
      <c r="F43" s="190"/>
      <c r="G43" s="223" t="s">
        <v>49</v>
      </c>
      <c r="H43" s="199">
        <v>560</v>
      </c>
      <c r="I43" s="200" t="s">
        <v>41</v>
      </c>
      <c r="J43" s="187"/>
      <c r="K43" s="187"/>
      <c r="L43" s="187"/>
      <c r="M43" s="187"/>
      <c r="N43" s="187"/>
      <c r="O43" s="187"/>
      <c r="P43" s="187"/>
      <c r="Q43" s="187"/>
      <c r="R43" s="187"/>
      <c r="S43" s="187"/>
      <c r="T43" s="187"/>
      <c r="U43" s="190"/>
      <c r="V43" s="187"/>
      <c r="W43" s="187"/>
      <c r="X43" s="187"/>
      <c r="Y43" s="187"/>
      <c r="Z43" s="187"/>
      <c r="AA43" s="177"/>
    </row>
    <row r="44" ht="19.5" spans="1:27">
      <c r="A44" s="220"/>
      <c r="B44" s="209"/>
      <c r="C44" s="209"/>
      <c r="D44" s="209"/>
      <c r="E44" s="209"/>
      <c r="F44" s="209"/>
      <c r="G44" s="226" t="s">
        <v>50</v>
      </c>
      <c r="H44" s="231">
        <v>28</v>
      </c>
      <c r="I44" s="212" t="s">
        <v>33</v>
      </c>
      <c r="J44" s="187"/>
      <c r="K44" s="187"/>
      <c r="L44" s="187"/>
      <c r="M44" s="187"/>
      <c r="N44" s="187"/>
      <c r="O44" s="187"/>
      <c r="P44" s="187"/>
      <c r="Q44" s="187"/>
      <c r="R44" s="187"/>
      <c r="S44" s="187"/>
      <c r="T44" s="187"/>
      <c r="U44" s="190"/>
      <c r="V44" s="187"/>
      <c r="W44" s="187"/>
      <c r="X44" s="187"/>
      <c r="Y44" s="187"/>
      <c r="Z44" s="187"/>
      <c r="AA44" s="177"/>
    </row>
    <row r="45" spans="1:27">
      <c r="A45" s="187"/>
      <c r="B45" s="187"/>
      <c r="C45" s="187"/>
      <c r="D45" s="187"/>
      <c r="E45" s="187"/>
      <c r="F45" s="187"/>
      <c r="G45" s="188"/>
      <c r="H45" s="187"/>
      <c r="I45" s="187"/>
      <c r="J45" s="187"/>
      <c r="K45" s="187"/>
      <c r="L45" s="187"/>
      <c r="M45" s="187"/>
      <c r="N45" s="187"/>
      <c r="O45" s="187"/>
      <c r="P45" s="187"/>
      <c r="Q45" s="187"/>
      <c r="R45" s="187"/>
      <c r="S45" s="187"/>
      <c r="T45" s="187"/>
      <c r="U45" s="190"/>
      <c r="V45" s="187"/>
      <c r="W45" s="187"/>
      <c r="X45" s="187"/>
      <c r="Y45" s="187"/>
      <c r="Z45" s="187"/>
      <c r="AA45" s="177"/>
    </row>
    <row r="46" spans="1:27">
      <c r="A46" s="214"/>
      <c r="B46" s="190"/>
      <c r="C46" s="190"/>
      <c r="D46" s="190"/>
      <c r="E46" s="190"/>
      <c r="F46" s="190"/>
      <c r="G46" s="223"/>
      <c r="H46" s="190"/>
      <c r="I46" s="190"/>
      <c r="J46" s="190"/>
      <c r="K46" s="187"/>
      <c r="L46" s="187"/>
      <c r="M46" s="187"/>
      <c r="N46" s="187"/>
      <c r="O46" s="187"/>
      <c r="P46" s="187"/>
      <c r="Q46" s="187"/>
      <c r="R46" s="187"/>
      <c r="S46" s="187"/>
      <c r="T46" s="187"/>
      <c r="U46" s="190"/>
      <c r="V46" s="187"/>
      <c r="W46" s="187"/>
      <c r="X46" s="187"/>
      <c r="Y46" s="187"/>
      <c r="Z46" s="187"/>
      <c r="AA46" s="177"/>
    </row>
    <row r="47" spans="1:27">
      <c r="A47" s="190"/>
      <c r="B47" s="190"/>
      <c r="C47" s="190"/>
      <c r="D47" s="190"/>
      <c r="E47" s="190"/>
      <c r="F47" s="190"/>
      <c r="G47" s="223"/>
      <c r="H47" s="232"/>
      <c r="I47" s="190"/>
      <c r="J47" s="190"/>
      <c r="K47" s="187"/>
      <c r="L47" s="187"/>
      <c r="M47" s="187"/>
      <c r="N47" s="187"/>
      <c r="O47" s="187"/>
      <c r="P47" s="187"/>
      <c r="Q47" s="187"/>
      <c r="R47" s="187"/>
      <c r="S47" s="187"/>
      <c r="T47" s="187"/>
      <c r="U47" s="190"/>
      <c r="V47" s="187"/>
      <c r="W47" s="187"/>
      <c r="X47" s="187"/>
      <c r="Y47" s="187"/>
      <c r="Z47" s="187"/>
      <c r="AA47" s="177"/>
    </row>
    <row r="48" spans="1:27">
      <c r="A48" s="190"/>
      <c r="B48" s="190"/>
      <c r="C48" s="190"/>
      <c r="D48" s="190"/>
      <c r="E48" s="190"/>
      <c r="F48" s="190"/>
      <c r="G48" s="223"/>
      <c r="H48" s="190"/>
      <c r="I48" s="190"/>
      <c r="J48" s="190"/>
      <c r="K48" s="187"/>
      <c r="L48" s="187"/>
      <c r="M48" s="187"/>
      <c r="N48" s="187"/>
      <c r="O48" s="187"/>
      <c r="P48" s="187"/>
      <c r="Q48" s="187"/>
      <c r="R48" s="187"/>
      <c r="S48" s="187"/>
      <c r="T48" s="187"/>
      <c r="U48" s="190"/>
      <c r="V48" s="187"/>
      <c r="W48" s="187"/>
      <c r="X48" s="187"/>
      <c r="Y48" s="187"/>
      <c r="Z48" s="187"/>
      <c r="AA48" s="177"/>
    </row>
    <row r="49" spans="1:27">
      <c r="A49" s="190"/>
      <c r="B49" s="190"/>
      <c r="C49" s="190"/>
      <c r="D49" s="190"/>
      <c r="E49" s="190"/>
      <c r="F49" s="190"/>
      <c r="G49" s="223"/>
      <c r="H49" s="233"/>
      <c r="I49" s="190"/>
      <c r="J49" s="190"/>
      <c r="K49" s="187"/>
      <c r="L49" s="187"/>
      <c r="M49" s="187"/>
      <c r="N49" s="187"/>
      <c r="O49" s="187"/>
      <c r="P49" s="187"/>
      <c r="Q49" s="187"/>
      <c r="R49" s="187"/>
      <c r="S49" s="187"/>
      <c r="T49" s="187"/>
      <c r="U49" s="190"/>
      <c r="V49" s="187"/>
      <c r="W49" s="187"/>
      <c r="X49" s="187"/>
      <c r="Y49" s="187"/>
      <c r="Z49" s="187"/>
      <c r="AA49" s="177"/>
    </row>
    <row r="50" spans="1:27">
      <c r="A50" s="190"/>
      <c r="B50" s="190"/>
      <c r="C50" s="190"/>
      <c r="D50" s="190"/>
      <c r="E50" s="190"/>
      <c r="F50" s="190"/>
      <c r="G50" s="223"/>
      <c r="H50" s="190"/>
      <c r="I50" s="190"/>
      <c r="J50" s="187"/>
      <c r="K50" s="187"/>
      <c r="L50" s="187"/>
      <c r="M50" s="187"/>
      <c r="N50" s="187"/>
      <c r="O50" s="187"/>
      <c r="P50" s="187"/>
      <c r="Q50" s="187"/>
      <c r="R50" s="187"/>
      <c r="S50" s="187"/>
      <c r="T50" s="187"/>
      <c r="U50" s="190"/>
      <c r="V50" s="187"/>
      <c r="W50" s="187"/>
      <c r="X50" s="187"/>
      <c r="Y50" s="187"/>
      <c r="Z50" s="187"/>
      <c r="AA50" s="177"/>
    </row>
    <row r="51" spans="1:27">
      <c r="A51" s="214"/>
      <c r="B51" s="190"/>
      <c r="C51" s="190"/>
      <c r="D51" s="190"/>
      <c r="E51" s="190"/>
      <c r="F51" s="190"/>
      <c r="G51" s="223"/>
      <c r="H51" s="190"/>
      <c r="I51" s="190"/>
      <c r="J51" s="187"/>
      <c r="K51" s="187"/>
      <c r="L51" s="187"/>
      <c r="M51" s="187"/>
      <c r="N51" s="187"/>
      <c r="O51" s="187"/>
      <c r="P51" s="187"/>
      <c r="Q51" s="187"/>
      <c r="R51" s="187"/>
      <c r="S51" s="187"/>
      <c r="T51" s="187"/>
      <c r="U51" s="190"/>
      <c r="V51" s="187"/>
      <c r="W51" s="187"/>
      <c r="X51" s="187"/>
      <c r="Y51" s="187"/>
      <c r="Z51" s="187"/>
      <c r="AA51" s="177"/>
    </row>
    <row r="52" spans="1:27">
      <c r="A52" s="190"/>
      <c r="B52" s="190"/>
      <c r="C52" s="190"/>
      <c r="D52" s="190"/>
      <c r="E52" s="190"/>
      <c r="F52" s="190"/>
      <c r="G52" s="223"/>
      <c r="H52" s="190"/>
      <c r="I52" s="190"/>
      <c r="J52" s="187"/>
      <c r="K52" s="187"/>
      <c r="L52" s="187"/>
      <c r="M52" s="187"/>
      <c r="N52" s="187"/>
      <c r="O52" s="187"/>
      <c r="P52" s="187"/>
      <c r="Q52" s="187"/>
      <c r="R52" s="187"/>
      <c r="S52" s="187"/>
      <c r="T52" s="187"/>
      <c r="U52" s="190"/>
      <c r="V52" s="187"/>
      <c r="W52" s="187"/>
      <c r="X52" s="187"/>
      <c r="Y52" s="187"/>
      <c r="Z52" s="187"/>
      <c r="AA52" s="177"/>
    </row>
    <row r="53" spans="1:27">
      <c r="A53" s="190"/>
      <c r="B53" s="190"/>
      <c r="C53" s="190"/>
      <c r="D53" s="190"/>
      <c r="E53" s="190"/>
      <c r="F53" s="190"/>
      <c r="G53" s="223"/>
      <c r="H53" s="190"/>
      <c r="I53" s="190"/>
      <c r="J53" s="187"/>
      <c r="K53" s="187"/>
      <c r="L53" s="187"/>
      <c r="M53" s="187"/>
      <c r="N53" s="187"/>
      <c r="O53" s="187"/>
      <c r="P53" s="187"/>
      <c r="Q53" s="234">
        <f>VIN_min</f>
        <v>3</v>
      </c>
      <c r="R53" s="187"/>
      <c r="S53" s="187"/>
      <c r="T53" s="187"/>
      <c r="U53" s="190"/>
      <c r="V53" s="187"/>
      <c r="W53" s="187"/>
      <c r="X53" s="187"/>
      <c r="Y53" s="187"/>
      <c r="Z53" s="187"/>
      <c r="AA53" s="177"/>
    </row>
    <row r="54" spans="1:27">
      <c r="A54" s="190"/>
      <c r="B54" s="190"/>
      <c r="C54" s="190"/>
      <c r="D54" s="190"/>
      <c r="E54" s="190"/>
      <c r="F54" s="190"/>
      <c r="G54" s="223"/>
      <c r="H54" s="232"/>
      <c r="I54" s="235"/>
      <c r="J54" s="187"/>
      <c r="K54" s="187"/>
      <c r="L54" s="187"/>
      <c r="M54" s="187"/>
      <c r="N54" s="187"/>
      <c r="O54" s="187"/>
      <c r="P54" s="187"/>
      <c r="Q54" s="187"/>
      <c r="R54" s="187"/>
      <c r="S54" s="187"/>
      <c r="T54" s="187"/>
      <c r="U54" s="190"/>
      <c r="V54" s="187"/>
      <c r="W54" s="187"/>
      <c r="X54" s="187"/>
      <c r="Y54" s="187"/>
      <c r="Z54" s="187"/>
      <c r="AA54" s="177"/>
    </row>
    <row r="55" spans="1:27">
      <c r="A55" s="190"/>
      <c r="B55" s="190"/>
      <c r="C55" s="190"/>
      <c r="D55" s="190"/>
      <c r="E55" s="190"/>
      <c r="F55" s="190"/>
      <c r="G55" s="223"/>
      <c r="H55" s="190"/>
      <c r="I55" s="235"/>
      <c r="J55" s="187"/>
      <c r="K55" s="187"/>
      <c r="L55" s="187"/>
      <c r="M55" s="187"/>
      <c r="N55" s="187"/>
      <c r="O55" s="187"/>
      <c r="P55" s="187"/>
      <c r="Q55" s="187"/>
      <c r="R55" s="187"/>
      <c r="S55" s="187"/>
      <c r="T55" s="187"/>
      <c r="U55" s="190"/>
      <c r="V55" s="187"/>
      <c r="W55" s="187"/>
      <c r="X55" s="187"/>
      <c r="Y55" s="187"/>
      <c r="Z55" s="187"/>
      <c r="AA55" s="177"/>
    </row>
    <row r="56" spans="1:27">
      <c r="A56" s="190"/>
      <c r="B56" s="190"/>
      <c r="C56" s="190"/>
      <c r="D56" s="190"/>
      <c r="E56" s="190"/>
      <c r="F56" s="190"/>
      <c r="G56" s="223"/>
      <c r="H56" s="236"/>
      <c r="I56" s="235"/>
      <c r="J56" s="187"/>
      <c r="K56" s="187"/>
      <c r="L56" s="187"/>
      <c r="M56" s="187"/>
      <c r="N56" s="187"/>
      <c r="O56" s="187"/>
      <c r="P56" s="187"/>
      <c r="Q56" s="187"/>
      <c r="R56" s="187"/>
      <c r="S56" s="187"/>
      <c r="T56" s="187"/>
      <c r="U56" s="190"/>
      <c r="V56" s="187"/>
      <c r="W56" s="187"/>
      <c r="X56" s="187"/>
      <c r="Y56" s="187"/>
      <c r="Z56" s="187"/>
      <c r="AA56" s="177"/>
    </row>
    <row r="57" spans="1:27">
      <c r="A57" s="190"/>
      <c r="B57" s="190"/>
      <c r="C57" s="190"/>
      <c r="D57" s="190"/>
      <c r="E57" s="190"/>
      <c r="F57" s="190"/>
      <c r="G57" s="223"/>
      <c r="H57" s="190"/>
      <c r="I57" s="190"/>
      <c r="J57" s="187"/>
      <c r="K57" s="187"/>
      <c r="L57" s="187"/>
      <c r="M57" s="187"/>
      <c r="N57" s="187"/>
      <c r="O57" s="187"/>
      <c r="P57" s="187"/>
      <c r="Q57" s="187"/>
      <c r="R57" s="187"/>
      <c r="S57" s="187"/>
      <c r="T57" s="187"/>
      <c r="U57" s="190"/>
      <c r="V57" s="187"/>
      <c r="W57" s="187"/>
      <c r="X57" s="187"/>
      <c r="Y57" s="187"/>
      <c r="Z57" s="187"/>
      <c r="AA57" s="177"/>
    </row>
    <row r="58" ht="15.75" spans="1:27">
      <c r="A58" s="214" t="s">
        <v>51</v>
      </c>
      <c r="B58" s="187"/>
      <c r="C58" s="187"/>
      <c r="D58" s="187"/>
      <c r="E58" s="187"/>
      <c r="F58" s="187"/>
      <c r="G58" s="187"/>
      <c r="H58" s="187"/>
      <c r="I58" s="187"/>
      <c r="J58" s="187"/>
      <c r="K58" s="187"/>
      <c r="L58" s="187"/>
      <c r="M58" s="187"/>
      <c r="N58" s="187"/>
      <c r="O58" s="187"/>
      <c r="P58" s="187"/>
      <c r="Q58" s="187"/>
      <c r="R58" s="187"/>
      <c r="S58" s="187"/>
      <c r="T58" s="187"/>
      <c r="U58" s="190"/>
      <c r="V58" s="187"/>
      <c r="W58" s="187"/>
      <c r="X58" s="187"/>
      <c r="Y58" s="187"/>
      <c r="Z58" s="187"/>
      <c r="AA58" s="177"/>
    </row>
    <row r="59" ht="18.75" spans="1:27">
      <c r="A59" s="215"/>
      <c r="B59" s="193"/>
      <c r="C59" s="193"/>
      <c r="D59" s="193"/>
      <c r="E59" s="193"/>
      <c r="F59" s="193"/>
      <c r="G59" s="237" t="s">
        <v>52</v>
      </c>
      <c r="H59" s="238" t="str">
        <f>VIN_var&amp;"V"</f>
        <v>4V</v>
      </c>
      <c r="I59" s="196"/>
      <c r="J59" s="187"/>
      <c r="K59" s="187"/>
      <c r="L59" s="187"/>
      <c r="M59" s="187"/>
      <c r="N59" s="187"/>
      <c r="O59" s="187"/>
      <c r="P59" s="187"/>
      <c r="Q59" s="187"/>
      <c r="R59" s="187"/>
      <c r="S59" s="187"/>
      <c r="T59" s="187"/>
      <c r="U59" s="190"/>
      <c r="V59" s="187"/>
      <c r="W59" s="187"/>
      <c r="X59" s="187"/>
      <c r="Y59" s="187"/>
      <c r="Z59" s="187"/>
      <c r="AA59" s="177"/>
    </row>
    <row r="60" spans="1:27">
      <c r="A60" s="197"/>
      <c r="B60" s="190"/>
      <c r="C60" s="190"/>
      <c r="D60" s="190"/>
      <c r="E60" s="190"/>
      <c r="F60" s="190"/>
      <c r="G60" s="190"/>
      <c r="H60" s="239"/>
      <c r="I60" s="200"/>
      <c r="J60" s="187"/>
      <c r="K60" s="187"/>
      <c r="L60" s="187"/>
      <c r="M60" s="187"/>
      <c r="N60" s="187"/>
      <c r="O60" s="187"/>
      <c r="P60" s="187"/>
      <c r="Q60" s="187"/>
      <c r="R60" s="187"/>
      <c r="S60" s="187"/>
      <c r="T60" s="187"/>
      <c r="U60" s="190"/>
      <c r="V60" s="187"/>
      <c r="W60" s="187"/>
      <c r="X60" s="187"/>
      <c r="Y60" s="187"/>
      <c r="Z60" s="187"/>
      <c r="AA60" s="177"/>
    </row>
    <row r="61" spans="1:27">
      <c r="A61" s="240"/>
      <c r="B61" s="190"/>
      <c r="C61" s="190"/>
      <c r="D61" s="190"/>
      <c r="E61" s="190"/>
      <c r="F61" s="190"/>
      <c r="G61" s="241" t="s">
        <v>53</v>
      </c>
      <c r="H61" s="202"/>
      <c r="I61" s="200"/>
      <c r="J61" s="187"/>
      <c r="K61" s="187"/>
      <c r="L61" s="187"/>
      <c r="M61" s="187"/>
      <c r="N61" s="187"/>
      <c r="O61" s="187"/>
      <c r="P61" s="187"/>
      <c r="Q61" s="187"/>
      <c r="R61" s="187"/>
      <c r="S61" s="187"/>
      <c r="T61" s="187"/>
      <c r="U61" s="190"/>
      <c r="V61" s="187"/>
      <c r="W61" s="187"/>
      <c r="X61" s="187"/>
      <c r="Y61" s="187"/>
      <c r="Z61" s="187"/>
      <c r="AA61" s="177"/>
    </row>
    <row r="62" ht="18.75" spans="1:27">
      <c r="A62" s="240"/>
      <c r="B62" s="190"/>
      <c r="C62" s="190"/>
      <c r="D62" s="190"/>
      <c r="E62" s="190"/>
      <c r="F62" s="190"/>
      <c r="G62" s="223" t="s">
        <v>54</v>
      </c>
      <c r="H62" s="199">
        <v>15</v>
      </c>
      <c r="I62" s="225" t="s">
        <v>55</v>
      </c>
      <c r="J62" s="187"/>
      <c r="K62" s="187"/>
      <c r="L62" s="187"/>
      <c r="M62" s="187"/>
      <c r="N62" s="187"/>
      <c r="O62" s="187"/>
      <c r="P62" s="187"/>
      <c r="Q62" s="187"/>
      <c r="R62" s="187"/>
      <c r="S62" s="187"/>
      <c r="T62" s="187"/>
      <c r="U62" s="190"/>
      <c r="V62" s="187"/>
      <c r="W62" s="187"/>
      <c r="X62" s="187"/>
      <c r="Y62" s="187"/>
      <c r="Z62" s="187"/>
      <c r="AA62" s="177"/>
    </row>
    <row r="63" ht="18.75" spans="1:27">
      <c r="A63" s="240"/>
      <c r="B63" s="190"/>
      <c r="C63" s="190"/>
      <c r="D63" s="190"/>
      <c r="E63" s="190"/>
      <c r="F63" s="190"/>
      <c r="G63" s="223" t="s">
        <v>56</v>
      </c>
      <c r="H63" s="219">
        <f>RFBB_calc/1000</f>
        <v>2.16247139588101</v>
      </c>
      <c r="I63" s="225" t="s">
        <v>55</v>
      </c>
      <c r="J63" s="187"/>
      <c r="K63" s="187"/>
      <c r="L63" s="187"/>
      <c r="M63" s="187"/>
      <c r="N63" s="187"/>
      <c r="O63" s="187"/>
      <c r="P63" s="187"/>
      <c r="Q63" s="187"/>
      <c r="R63" s="187"/>
      <c r="S63" s="187"/>
      <c r="T63" s="187"/>
      <c r="U63" s="190"/>
      <c r="V63" s="187"/>
      <c r="W63" s="187"/>
      <c r="X63" s="187"/>
      <c r="Y63" s="187"/>
      <c r="Z63" s="187"/>
      <c r="AA63" s="177"/>
    </row>
    <row r="64" ht="18.75" spans="1:27">
      <c r="A64" s="240"/>
      <c r="B64" s="190"/>
      <c r="C64" s="190"/>
      <c r="D64" s="190"/>
      <c r="E64" s="190"/>
      <c r="F64" s="190"/>
      <c r="G64" s="223" t="s">
        <v>57</v>
      </c>
      <c r="H64" s="199">
        <v>2.16</v>
      </c>
      <c r="I64" s="225" t="s">
        <v>55</v>
      </c>
      <c r="J64" s="187"/>
      <c r="K64" s="187"/>
      <c r="L64" s="187"/>
      <c r="M64" s="187"/>
      <c r="N64" s="187"/>
      <c r="O64" s="187"/>
      <c r="P64" s="187"/>
      <c r="Q64" s="187"/>
      <c r="R64" s="187"/>
      <c r="S64" s="187"/>
      <c r="T64" s="187"/>
      <c r="U64" s="190"/>
      <c r="V64" s="187"/>
      <c r="W64" s="187"/>
      <c r="X64" s="187"/>
      <c r="Y64" s="187"/>
      <c r="Z64" s="187"/>
      <c r="AA64" s="177"/>
    </row>
    <row r="65" spans="1:27">
      <c r="A65" s="197"/>
      <c r="B65" s="190"/>
      <c r="C65" s="190"/>
      <c r="D65" s="190"/>
      <c r="E65" s="190"/>
      <c r="F65" s="190"/>
      <c r="G65" s="223"/>
      <c r="H65" s="202"/>
      <c r="I65" s="200"/>
      <c r="J65" s="187"/>
      <c r="K65" s="187"/>
      <c r="L65" s="187"/>
      <c r="M65" s="187"/>
      <c r="N65" s="187"/>
      <c r="O65" s="187"/>
      <c r="P65" s="187"/>
      <c r="Q65" s="187"/>
      <c r="R65" s="187"/>
      <c r="S65" s="187"/>
      <c r="T65" s="187"/>
      <c r="U65" s="190"/>
      <c r="V65" s="187"/>
      <c r="W65" s="187"/>
      <c r="X65" s="187"/>
      <c r="Y65" s="187"/>
      <c r="Z65" s="187"/>
      <c r="AA65" s="177"/>
    </row>
    <row r="66" spans="1:27">
      <c r="A66" s="197"/>
      <c r="B66" s="190"/>
      <c r="C66" s="190"/>
      <c r="D66" s="190"/>
      <c r="E66" s="190"/>
      <c r="F66" s="190"/>
      <c r="G66" s="223"/>
      <c r="H66" s="202"/>
      <c r="I66" s="200"/>
      <c r="J66" s="187"/>
      <c r="K66" s="187"/>
      <c r="L66" s="187"/>
      <c r="M66" s="187"/>
      <c r="N66" s="187"/>
      <c r="O66" s="187"/>
      <c r="P66" s="187"/>
      <c r="Q66" s="187"/>
      <c r="R66" s="187"/>
      <c r="S66" s="187"/>
      <c r="T66" s="187"/>
      <c r="U66" s="190"/>
      <c r="V66" s="187"/>
      <c r="W66" s="187"/>
      <c r="X66" s="187"/>
      <c r="Y66" s="187"/>
      <c r="Z66" s="187"/>
      <c r="AA66" s="177"/>
    </row>
    <row r="67" spans="1:27">
      <c r="A67" s="197"/>
      <c r="B67" s="190"/>
      <c r="C67" s="190"/>
      <c r="D67" s="190"/>
      <c r="E67" s="190"/>
      <c r="F67" s="190"/>
      <c r="G67" s="223" t="s">
        <v>58</v>
      </c>
      <c r="H67" s="242">
        <f>fcross_est/1000</f>
        <v>0.734561275808747</v>
      </c>
      <c r="I67" s="200" t="s">
        <v>14</v>
      </c>
      <c r="J67" s="187"/>
      <c r="K67" s="187"/>
      <c r="L67" s="187"/>
      <c r="M67" s="187"/>
      <c r="N67" s="187"/>
      <c r="O67" s="187"/>
      <c r="P67" s="187"/>
      <c r="Q67" s="187"/>
      <c r="R67" s="187"/>
      <c r="S67" s="187"/>
      <c r="T67" s="187"/>
      <c r="U67" s="190"/>
      <c r="V67" s="187"/>
      <c r="W67" s="187"/>
      <c r="X67" s="187"/>
      <c r="Y67" s="187"/>
      <c r="Z67" s="187"/>
      <c r="AA67" s="177"/>
    </row>
    <row r="68" ht="18.75" spans="1:27">
      <c r="A68" s="197"/>
      <c r="B68" s="190"/>
      <c r="C68" s="190"/>
      <c r="D68" s="190"/>
      <c r="E68" s="190"/>
      <c r="F68" s="190"/>
      <c r="G68" s="223" t="s">
        <v>59</v>
      </c>
      <c r="H68" s="199">
        <v>0.7</v>
      </c>
      <c r="I68" s="200" t="s">
        <v>14</v>
      </c>
      <c r="J68" s="187"/>
      <c r="K68" s="187"/>
      <c r="L68" s="187"/>
      <c r="M68" s="187"/>
      <c r="N68" s="187"/>
      <c r="O68" s="187"/>
      <c r="P68" s="187"/>
      <c r="Q68" s="187"/>
      <c r="R68" s="187"/>
      <c r="S68" s="187"/>
      <c r="T68" s="187"/>
      <c r="U68" s="190"/>
      <c r="V68" s="187"/>
      <c r="W68" s="187"/>
      <c r="X68" s="187"/>
      <c r="Y68" s="187"/>
      <c r="Z68" s="187"/>
      <c r="AA68" s="177"/>
    </row>
    <row r="69" spans="1:27">
      <c r="A69" s="197"/>
      <c r="B69" s="190"/>
      <c r="C69" s="190"/>
      <c r="D69" s="190"/>
      <c r="E69" s="190"/>
      <c r="F69" s="190"/>
      <c r="G69" s="223"/>
      <c r="H69" s="202"/>
      <c r="I69" s="200"/>
      <c r="J69" s="187"/>
      <c r="K69" s="187"/>
      <c r="L69" s="187"/>
      <c r="M69" s="187"/>
      <c r="N69" s="187"/>
      <c r="O69" s="187"/>
      <c r="P69" s="187"/>
      <c r="Q69" s="187"/>
      <c r="R69" s="187"/>
      <c r="S69" s="187"/>
      <c r="T69" s="187"/>
      <c r="U69" s="190"/>
      <c r="V69" s="187"/>
      <c r="W69" s="187"/>
      <c r="X69" s="187"/>
      <c r="Y69" s="187"/>
      <c r="Z69" s="187"/>
      <c r="AA69" s="177"/>
    </row>
    <row r="70" ht="15.75" spans="1:27">
      <c r="A70" s="197"/>
      <c r="B70" s="190"/>
      <c r="C70" s="190"/>
      <c r="D70" s="190"/>
      <c r="E70" s="190"/>
      <c r="F70" s="243" t="s">
        <v>60</v>
      </c>
      <c r="G70" s="243"/>
      <c r="H70" s="244" t="s">
        <v>61</v>
      </c>
      <c r="I70" s="245"/>
      <c r="J70" s="187"/>
      <c r="K70" s="187"/>
      <c r="L70" s="187"/>
      <c r="M70" s="187"/>
      <c r="N70" s="187"/>
      <c r="O70" s="187"/>
      <c r="P70" s="187"/>
      <c r="Q70" s="187"/>
      <c r="R70" s="187"/>
      <c r="S70" s="187"/>
      <c r="T70" s="187"/>
      <c r="U70" s="190"/>
      <c r="V70" s="187"/>
      <c r="W70" s="187"/>
      <c r="X70" s="187"/>
      <c r="Y70" s="187"/>
      <c r="Z70" s="187"/>
      <c r="AA70" s="177"/>
    </row>
    <row r="71" ht="19.5" spans="1:27">
      <c r="A71" s="197"/>
      <c r="B71" s="190"/>
      <c r="C71" s="190"/>
      <c r="D71" s="190"/>
      <c r="E71" s="223" t="s">
        <v>62</v>
      </c>
      <c r="F71" s="246">
        <f>RCOMP_Calc/1000</f>
        <v>1.17648119949247</v>
      </c>
      <c r="G71" s="247" t="s">
        <v>55</v>
      </c>
      <c r="H71" s="248">
        <v>2.5</v>
      </c>
      <c r="I71" s="225" t="s">
        <v>55</v>
      </c>
      <c r="J71" s="187"/>
      <c r="K71" s="187"/>
      <c r="L71" s="187"/>
      <c r="M71" s="187"/>
      <c r="N71" s="187"/>
      <c r="O71" s="187"/>
      <c r="P71" s="187"/>
      <c r="Q71" s="187"/>
      <c r="R71" s="187"/>
      <c r="S71" s="187"/>
      <c r="T71" s="187"/>
      <c r="U71" s="190"/>
      <c r="V71" s="187"/>
      <c r="W71" s="187"/>
      <c r="X71" s="187"/>
      <c r="Y71" s="187"/>
      <c r="Z71" s="187"/>
      <c r="AA71" s="177"/>
    </row>
    <row r="72" ht="19.5" spans="1:27">
      <c r="A72" s="197"/>
      <c r="B72" s="190"/>
      <c r="C72" s="190"/>
      <c r="D72" s="190"/>
      <c r="E72" s="223" t="s">
        <v>63</v>
      </c>
      <c r="F72" s="249">
        <f>CCOMP_Calc*(10^9)</f>
        <v>456.045129318351</v>
      </c>
      <c r="G72" s="247" t="s">
        <v>64</v>
      </c>
      <c r="H72" s="248">
        <v>220</v>
      </c>
      <c r="I72" s="200" t="s">
        <v>64</v>
      </c>
      <c r="J72" s="187"/>
      <c r="K72" s="187"/>
      <c r="L72" s="187"/>
      <c r="M72" s="187"/>
      <c r="N72" s="187"/>
      <c r="O72" s="187"/>
      <c r="P72" s="187"/>
      <c r="Q72" s="187"/>
      <c r="R72" s="187"/>
      <c r="S72" s="187"/>
      <c r="T72" s="187"/>
      <c r="U72" s="190"/>
      <c r="V72" s="187"/>
      <c r="W72" s="187"/>
      <c r="X72" s="187"/>
      <c r="Y72" s="187"/>
      <c r="Z72" s="187"/>
      <c r="AA72" s="177"/>
    </row>
    <row r="73" ht="19.5" spans="1:27">
      <c r="A73" s="220"/>
      <c r="B73" s="209"/>
      <c r="C73" s="209"/>
      <c r="D73" s="209"/>
      <c r="E73" s="226" t="s">
        <v>65</v>
      </c>
      <c r="F73" s="250">
        <f>CHF_calc*(10^12)</f>
        <v>30694.1675962941</v>
      </c>
      <c r="G73" s="251" t="s">
        <v>66</v>
      </c>
      <c r="H73" s="231">
        <v>4700</v>
      </c>
      <c r="I73" s="212" t="s">
        <v>66</v>
      </c>
      <c r="J73" s="187"/>
      <c r="K73" s="187"/>
      <c r="L73" s="187"/>
      <c r="M73" s="187"/>
      <c r="N73" s="187"/>
      <c r="O73" s="187"/>
      <c r="P73" s="187"/>
      <c r="Q73" s="187"/>
      <c r="R73" s="187"/>
      <c r="S73" s="187"/>
      <c r="T73" s="187"/>
      <c r="U73" s="190"/>
      <c r="V73" s="187"/>
      <c r="W73" s="187"/>
      <c r="X73" s="187"/>
      <c r="Y73" s="187"/>
      <c r="Z73" s="187"/>
      <c r="AA73" s="177"/>
    </row>
    <row r="74" spans="1:27">
      <c r="A74" s="187"/>
      <c r="B74" s="187"/>
      <c r="C74" s="187"/>
      <c r="D74" s="187"/>
      <c r="E74" s="188"/>
      <c r="F74" s="252"/>
      <c r="G74" s="188"/>
      <c r="H74" s="253"/>
      <c r="I74" s="187"/>
      <c r="J74" s="187"/>
      <c r="K74" s="187"/>
      <c r="L74" s="187"/>
      <c r="M74" s="187"/>
      <c r="N74" s="187"/>
      <c r="O74" s="187"/>
      <c r="P74" s="187"/>
      <c r="Q74" s="187"/>
      <c r="R74" s="187"/>
      <c r="S74" s="187"/>
      <c r="T74" s="187"/>
      <c r="U74" s="190"/>
      <c r="V74" s="187"/>
      <c r="W74" s="187"/>
      <c r="X74" s="187"/>
      <c r="Y74" s="187"/>
      <c r="Z74" s="187"/>
      <c r="AA74" s="177"/>
    </row>
    <row r="75" ht="23.25" spans="1:27">
      <c r="A75" s="254" t="s">
        <v>67</v>
      </c>
      <c r="B75" s="255"/>
      <c r="C75" s="255"/>
      <c r="D75" s="255"/>
      <c r="E75" s="255"/>
      <c r="F75" s="255"/>
      <c r="G75" s="256"/>
      <c r="H75" s="255"/>
      <c r="I75" s="255"/>
      <c r="J75" s="255"/>
      <c r="K75" s="255"/>
      <c r="L75" s="255"/>
      <c r="M75" s="255"/>
      <c r="N75" s="255"/>
      <c r="O75" s="255"/>
      <c r="P75" s="255"/>
      <c r="Q75" s="255"/>
      <c r="R75" s="255"/>
      <c r="S75" s="255"/>
      <c r="T75" s="257"/>
      <c r="U75" s="258"/>
      <c r="V75" s="257"/>
      <c r="W75" s="257"/>
      <c r="X75" s="257"/>
      <c r="Y75" s="257"/>
      <c r="Z75" s="257"/>
    </row>
    <row r="76" spans="1:27">
      <c r="A76" s="187"/>
      <c r="B76" s="187"/>
      <c r="C76" s="187"/>
      <c r="D76" s="187"/>
      <c r="E76" s="187"/>
      <c r="F76" s="187"/>
      <c r="G76" s="187"/>
      <c r="H76" s="187"/>
      <c r="I76" s="187"/>
      <c r="J76" s="187"/>
      <c r="K76" s="187"/>
      <c r="L76" s="187"/>
      <c r="M76" s="187"/>
      <c r="N76" s="187"/>
      <c r="O76" s="187"/>
      <c r="P76" s="187"/>
      <c r="Q76" s="187"/>
      <c r="R76" s="187"/>
      <c r="S76" s="187"/>
      <c r="T76" s="187"/>
      <c r="U76" s="190"/>
      <c r="V76" s="187"/>
      <c r="W76" s="187"/>
      <c r="X76" s="187"/>
      <c r="Y76" s="187"/>
      <c r="Z76" s="187"/>
      <c r="AA76" s="177"/>
    </row>
    <row r="77" ht="15.75" spans="1:27">
      <c r="A77" s="259" t="s">
        <v>68</v>
      </c>
      <c r="B77" s="190"/>
      <c r="C77" s="190"/>
      <c r="D77" s="190"/>
      <c r="E77" s="190"/>
      <c r="F77" s="187"/>
      <c r="G77" s="187"/>
      <c r="H77" s="190"/>
      <c r="I77" s="190"/>
      <c r="J77" s="187"/>
      <c r="K77" s="187"/>
      <c r="L77" s="187"/>
      <c r="M77" s="187"/>
      <c r="N77" s="187"/>
      <c r="O77" s="187"/>
      <c r="P77" s="187"/>
      <c r="Q77" s="187"/>
      <c r="R77" s="187"/>
      <c r="S77" s="187"/>
      <c r="T77" s="187"/>
      <c r="U77" s="190"/>
      <c r="V77" s="187"/>
      <c r="W77" s="187"/>
      <c r="X77" s="187"/>
      <c r="Y77" s="187"/>
      <c r="Z77" s="187"/>
      <c r="AA77" s="177"/>
    </row>
    <row r="78" ht="16.5" spans="1:27">
      <c r="A78" s="192"/>
      <c r="B78" s="193"/>
      <c r="C78" s="193"/>
      <c r="D78" s="193"/>
      <c r="E78" s="193"/>
      <c r="F78" s="193"/>
      <c r="G78" s="260" t="s">
        <v>69</v>
      </c>
      <c r="H78" s="195">
        <v>6.5</v>
      </c>
      <c r="I78" s="261" t="s">
        <v>70</v>
      </c>
      <c r="J78" s="80"/>
      <c r="K78" s="80"/>
      <c r="L78" s="80"/>
      <c r="M78" s="80"/>
      <c r="N78" s="80"/>
      <c r="O78" s="80"/>
      <c r="P78" s="80"/>
      <c r="Q78" s="80"/>
      <c r="R78" s="80"/>
      <c r="S78" s="80"/>
      <c r="T78" s="80"/>
      <c r="U78" s="262"/>
      <c r="V78" s="253"/>
      <c r="W78" s="80"/>
      <c r="X78" s="80"/>
      <c r="Y78" s="80"/>
      <c r="Z78" s="80"/>
      <c r="AA78" s="177"/>
    </row>
    <row r="79" ht="16.5" spans="1:27">
      <c r="A79" s="240"/>
      <c r="B79" s="190"/>
      <c r="C79" s="190"/>
      <c r="D79" s="190"/>
      <c r="E79" s="190"/>
      <c r="F79" s="190"/>
      <c r="G79" s="263" t="s">
        <v>71</v>
      </c>
      <c r="H79" s="199">
        <v>30</v>
      </c>
      <c r="I79" s="264" t="s">
        <v>72</v>
      </c>
      <c r="J79" s="80"/>
      <c r="K79" s="80"/>
      <c r="L79" s="80"/>
      <c r="M79" s="80"/>
      <c r="N79" s="80"/>
      <c r="O79" s="80"/>
      <c r="P79" s="80"/>
      <c r="Q79" s="80"/>
      <c r="R79" s="80"/>
      <c r="S79" s="80"/>
      <c r="T79" s="80"/>
      <c r="U79" s="262"/>
      <c r="V79" s="253"/>
      <c r="W79" s="80"/>
      <c r="X79" s="80"/>
      <c r="Y79" s="80"/>
      <c r="Z79" s="80"/>
      <c r="AA79" s="177"/>
    </row>
    <row r="80" ht="16.5" spans="1:27">
      <c r="A80" s="240"/>
      <c r="B80" s="190"/>
      <c r="C80" s="190"/>
      <c r="D80" s="190"/>
      <c r="E80" s="190"/>
      <c r="F80" s="190"/>
      <c r="G80" s="263" t="s">
        <v>73</v>
      </c>
      <c r="H80" s="199">
        <v>6.5</v>
      </c>
      <c r="I80" s="264" t="s">
        <v>72</v>
      </c>
      <c r="J80" s="80"/>
      <c r="K80" s="80"/>
      <c r="L80" s="80"/>
      <c r="M80" s="80"/>
      <c r="N80" s="80"/>
      <c r="O80" s="80"/>
      <c r="P80" s="80"/>
      <c r="Q80" s="80"/>
      <c r="R80" s="80"/>
      <c r="S80" s="80"/>
      <c r="T80" s="80"/>
      <c r="U80" s="262"/>
      <c r="V80" s="253"/>
      <c r="W80" s="80"/>
      <c r="X80" s="80"/>
      <c r="Y80" s="80"/>
      <c r="Z80" s="80"/>
      <c r="AA80" s="177"/>
    </row>
    <row r="81" ht="16.5" spans="1:27">
      <c r="A81" s="197"/>
      <c r="B81" s="190"/>
      <c r="C81" s="190"/>
      <c r="D81" s="190"/>
      <c r="E81" s="190"/>
      <c r="F81" s="190"/>
      <c r="G81" s="263" t="s">
        <v>74</v>
      </c>
      <c r="H81" s="199">
        <v>3.5</v>
      </c>
      <c r="I81" s="264" t="s">
        <v>72</v>
      </c>
      <c r="J81" s="80"/>
      <c r="K81" s="80"/>
      <c r="L81" s="80"/>
      <c r="M81" s="80"/>
      <c r="N81" s="80"/>
      <c r="O81" s="80"/>
      <c r="P81" s="80"/>
      <c r="Q81" s="80"/>
      <c r="R81" s="80"/>
      <c r="S81" s="80"/>
      <c r="T81" s="80"/>
      <c r="U81" s="262"/>
      <c r="V81" s="253"/>
      <c r="W81" s="80"/>
      <c r="X81" s="80"/>
      <c r="Y81" s="80"/>
      <c r="Z81" s="80"/>
      <c r="AA81" s="177"/>
    </row>
    <row r="82" ht="16.5" spans="1:27">
      <c r="A82" s="197"/>
      <c r="B82" s="190"/>
      <c r="C82" s="190"/>
      <c r="D82" s="190"/>
      <c r="E82" s="190"/>
      <c r="F82" s="190"/>
      <c r="G82" s="263" t="s">
        <v>75</v>
      </c>
      <c r="H82" s="199">
        <v>1.3</v>
      </c>
      <c r="I82" s="264" t="s">
        <v>76</v>
      </c>
      <c r="J82" s="80"/>
      <c r="K82" s="80"/>
      <c r="L82" s="80"/>
      <c r="M82" s="80"/>
      <c r="N82" s="80"/>
      <c r="O82" s="80"/>
      <c r="P82" s="80"/>
      <c r="Q82" s="80"/>
      <c r="R82" s="80"/>
      <c r="S82" s="80"/>
      <c r="T82" s="80"/>
      <c r="U82" s="262"/>
      <c r="V82" s="253"/>
      <c r="W82" s="80"/>
      <c r="X82" s="80"/>
      <c r="Y82" s="80"/>
      <c r="Z82" s="80"/>
      <c r="AA82" s="177"/>
    </row>
    <row r="83" ht="16.5" spans="1:27">
      <c r="A83" s="197"/>
      <c r="B83" s="190"/>
      <c r="C83" s="190"/>
      <c r="D83" s="190"/>
      <c r="E83" s="190"/>
      <c r="F83" s="190"/>
      <c r="G83" s="263" t="s">
        <v>77</v>
      </c>
      <c r="H83" s="199">
        <v>70</v>
      </c>
      <c r="I83" s="264" t="s">
        <v>78</v>
      </c>
      <c r="J83" s="80"/>
      <c r="K83" s="80"/>
      <c r="L83" s="80"/>
      <c r="M83" s="80"/>
      <c r="N83" s="80"/>
      <c r="O83" s="80"/>
      <c r="P83" s="80"/>
      <c r="Q83" s="80"/>
      <c r="R83" s="80"/>
      <c r="S83" s="80"/>
      <c r="T83" s="80"/>
      <c r="U83" s="262"/>
      <c r="V83" s="253"/>
      <c r="W83" s="80"/>
      <c r="X83" s="80"/>
      <c r="Y83" s="80"/>
      <c r="Z83" s="80"/>
      <c r="AA83" s="177"/>
    </row>
    <row r="84" ht="17.25" spans="1:27">
      <c r="A84" s="220"/>
      <c r="B84" s="209"/>
      <c r="C84" s="209"/>
      <c r="D84" s="209"/>
      <c r="E84" s="209"/>
      <c r="F84" s="209"/>
      <c r="G84" s="265" t="s">
        <v>79</v>
      </c>
      <c r="H84" s="231">
        <v>10</v>
      </c>
      <c r="I84" s="266" t="s">
        <v>7</v>
      </c>
      <c r="J84" s="80"/>
      <c r="K84" s="80"/>
      <c r="L84" s="80"/>
      <c r="M84" s="80"/>
      <c r="N84" s="80"/>
      <c r="O84" s="80"/>
      <c r="P84" s="80"/>
      <c r="Q84" s="80"/>
      <c r="R84" s="80"/>
      <c r="S84" s="80"/>
      <c r="T84" s="80"/>
      <c r="U84" s="262"/>
      <c r="V84" s="253"/>
      <c r="W84" s="80"/>
      <c r="X84" s="80"/>
      <c r="Y84" s="80"/>
      <c r="Z84" s="80"/>
      <c r="AA84" s="177"/>
    </row>
    <row r="85" spans="1:27">
      <c r="A85" s="187"/>
      <c r="B85" s="187"/>
      <c r="C85" s="187"/>
      <c r="D85" s="187"/>
      <c r="E85" s="187"/>
      <c r="F85" s="187"/>
      <c r="G85" s="188"/>
      <c r="H85" s="187"/>
      <c r="I85" s="190"/>
      <c r="J85" s="187"/>
      <c r="K85" s="187"/>
      <c r="L85" s="187"/>
      <c r="M85" s="187"/>
      <c r="N85" s="187"/>
      <c r="O85" s="187"/>
      <c r="P85" s="187"/>
      <c r="Q85" s="187"/>
      <c r="R85" s="187"/>
      <c r="S85" s="187"/>
      <c r="T85" s="187"/>
      <c r="U85" s="190"/>
      <c r="V85" s="187"/>
      <c r="W85" s="187"/>
      <c r="X85" s="187"/>
      <c r="Y85" s="187"/>
      <c r="Z85" s="187"/>
      <c r="AA85" s="177"/>
    </row>
    <row r="86" ht="15.75" spans="1:27">
      <c r="A86" s="267" t="s">
        <v>80</v>
      </c>
      <c r="B86" s="187"/>
      <c r="C86" s="187"/>
      <c r="D86" s="187"/>
      <c r="E86" s="187"/>
      <c r="F86" s="187"/>
      <c r="G86" s="188"/>
      <c r="H86" s="187"/>
      <c r="I86" s="187"/>
      <c r="J86" s="187"/>
      <c r="K86" s="187"/>
      <c r="L86" s="187"/>
      <c r="M86" s="187"/>
      <c r="N86" s="187"/>
      <c r="O86" s="187"/>
      <c r="P86" s="187"/>
      <c r="Q86" s="187"/>
      <c r="R86" s="187"/>
      <c r="S86" s="187"/>
      <c r="T86" s="187"/>
      <c r="U86" s="190"/>
      <c r="V86" s="187"/>
      <c r="W86" s="187"/>
      <c r="X86" s="187"/>
      <c r="Y86" s="187"/>
      <c r="Z86" s="187"/>
      <c r="AA86" s="177"/>
    </row>
    <row r="87" ht="18.75" spans="1:27">
      <c r="A87" s="192"/>
      <c r="B87" s="193"/>
      <c r="C87" s="193"/>
      <c r="D87" s="193"/>
      <c r="E87" s="193"/>
      <c r="F87" s="193"/>
      <c r="G87" s="229" t="s">
        <v>81</v>
      </c>
      <c r="H87" s="268">
        <f>IOUT</f>
        <v>2.5</v>
      </c>
      <c r="I87" s="196" t="s">
        <v>12</v>
      </c>
      <c r="J87" s="80"/>
      <c r="K87" s="80"/>
      <c r="L87" s="80"/>
      <c r="M87" s="80"/>
      <c r="N87" s="80"/>
      <c r="O87" s="80"/>
      <c r="P87" s="80"/>
      <c r="Q87" s="80"/>
      <c r="R87" s="80"/>
      <c r="S87" s="80"/>
      <c r="T87" s="80"/>
      <c r="U87" s="262"/>
      <c r="V87" s="253"/>
      <c r="W87" s="80"/>
      <c r="X87" s="80"/>
      <c r="Y87" s="80"/>
      <c r="Z87" s="80"/>
      <c r="AA87" s="177"/>
    </row>
    <row r="88" ht="18.75" spans="1:27">
      <c r="A88" s="197"/>
      <c r="B88" s="190"/>
      <c r="C88" s="190"/>
      <c r="D88" s="190"/>
      <c r="E88" s="190"/>
      <c r="F88" s="190"/>
      <c r="G88" s="223" t="s">
        <v>82</v>
      </c>
      <c r="H88" s="199">
        <v>325</v>
      </c>
      <c r="I88" s="200" t="s">
        <v>46</v>
      </c>
      <c r="J88" s="80"/>
      <c r="K88" s="80"/>
      <c r="L88" s="80"/>
      <c r="M88" s="80"/>
      <c r="N88" s="80"/>
      <c r="O88" s="80"/>
      <c r="P88" s="80"/>
      <c r="Q88" s="80"/>
      <c r="R88" s="80"/>
      <c r="S88" s="80"/>
      <c r="T88" s="80"/>
      <c r="U88" s="262"/>
      <c r="V88" s="253"/>
      <c r="W88" s="80"/>
      <c r="X88" s="80"/>
      <c r="Y88" s="80"/>
      <c r="Z88" s="80"/>
      <c r="AA88" s="177"/>
    </row>
    <row r="89" ht="15.75" spans="1:27">
      <c r="A89" s="220"/>
      <c r="B89" s="209"/>
      <c r="C89" s="209"/>
      <c r="D89" s="209"/>
      <c r="E89" s="209"/>
      <c r="F89" s="209"/>
      <c r="G89" s="226" t="s">
        <v>83</v>
      </c>
      <c r="H89" s="231">
        <v>0</v>
      </c>
      <c r="I89" s="212" t="s">
        <v>72</v>
      </c>
      <c r="J89" s="80"/>
      <c r="K89" s="80"/>
      <c r="L89" s="80"/>
      <c r="M89" s="80"/>
      <c r="N89" s="80"/>
      <c r="O89" s="80"/>
      <c r="P89" s="80"/>
      <c r="Q89" s="80"/>
      <c r="R89" s="80"/>
      <c r="S89" s="80"/>
      <c r="T89" s="80"/>
      <c r="U89" s="262"/>
      <c r="V89" s="253"/>
      <c r="W89" s="80"/>
      <c r="X89" s="80"/>
      <c r="Y89" s="80"/>
      <c r="Z89" s="80"/>
      <c r="AA89" s="177"/>
    </row>
    <row r="90" spans="1:27">
      <c r="A90" s="187"/>
      <c r="B90" s="187"/>
      <c r="C90" s="187"/>
      <c r="D90" s="187"/>
      <c r="E90" s="187"/>
      <c r="F90" s="187"/>
      <c r="G90" s="188"/>
      <c r="H90" s="187"/>
      <c r="I90" s="187"/>
      <c r="J90" s="187"/>
      <c r="K90" s="187"/>
      <c r="L90" s="187"/>
      <c r="M90" s="187"/>
      <c r="N90" s="187"/>
      <c r="O90" s="187"/>
      <c r="P90" s="187"/>
      <c r="Q90" s="187"/>
      <c r="R90" s="187"/>
      <c r="S90" s="187"/>
      <c r="T90" s="187"/>
      <c r="U90" s="190"/>
      <c r="V90" s="187"/>
      <c r="W90" s="187"/>
      <c r="X90" s="187"/>
      <c r="Y90" s="187"/>
      <c r="Z90" s="187"/>
      <c r="AA90" s="177"/>
    </row>
    <row r="91" spans="1:27">
      <c r="A91" s="187"/>
      <c r="B91" s="187"/>
      <c r="C91" s="187"/>
      <c r="D91" s="187"/>
      <c r="E91" s="187"/>
      <c r="F91" s="187"/>
      <c r="G91" s="188"/>
      <c r="H91" s="187"/>
      <c r="I91" s="187"/>
      <c r="J91" s="187"/>
      <c r="K91" s="187"/>
      <c r="L91" s="187"/>
      <c r="M91" s="187"/>
      <c r="N91" s="187"/>
      <c r="O91" s="187"/>
      <c r="P91" s="187"/>
      <c r="Q91" s="187"/>
      <c r="R91" s="187"/>
      <c r="S91" s="187"/>
      <c r="T91" s="187"/>
      <c r="U91" s="190"/>
      <c r="V91" s="187"/>
      <c r="W91" s="187"/>
      <c r="X91" s="187"/>
      <c r="Y91" s="187"/>
      <c r="Z91" s="187"/>
      <c r="AA91" s="177"/>
    </row>
    <row r="92" spans="1:27">
      <c r="A92" s="187"/>
      <c r="B92" s="187"/>
      <c r="C92" s="187"/>
      <c r="D92" s="187"/>
      <c r="E92" s="187"/>
      <c r="F92" s="187"/>
      <c r="G92" s="188"/>
      <c r="H92" s="187"/>
      <c r="I92" s="187"/>
      <c r="J92" s="187"/>
      <c r="K92" s="187"/>
      <c r="L92" s="187"/>
      <c r="M92" s="187"/>
      <c r="N92" s="187"/>
      <c r="O92" s="187"/>
      <c r="P92" s="187"/>
      <c r="Q92" s="187"/>
      <c r="R92" s="187"/>
      <c r="S92" s="187"/>
      <c r="T92" s="187"/>
      <c r="U92" s="190"/>
      <c r="V92" s="187"/>
      <c r="W92" s="187"/>
      <c r="X92" s="187"/>
      <c r="Y92" s="187"/>
      <c r="Z92" s="187"/>
      <c r="AA92" s="177"/>
    </row>
    <row r="93" spans="1:27">
      <c r="A93" s="187"/>
      <c r="B93" s="187"/>
      <c r="C93" s="187"/>
      <c r="D93" s="187"/>
      <c r="E93" s="187"/>
      <c r="F93" s="187"/>
      <c r="G93" s="188"/>
      <c r="H93" s="187"/>
      <c r="I93" s="187"/>
      <c r="J93" s="187"/>
      <c r="K93" s="187"/>
      <c r="L93" s="187"/>
      <c r="M93" s="187"/>
      <c r="N93" s="187"/>
      <c r="O93" s="187"/>
      <c r="P93" s="187"/>
      <c r="Q93" s="187"/>
      <c r="R93" s="187"/>
      <c r="S93" s="187"/>
      <c r="T93" s="187"/>
      <c r="U93" s="190"/>
      <c r="V93" s="187"/>
      <c r="W93" s="187"/>
      <c r="X93" s="187"/>
      <c r="Y93" s="187"/>
      <c r="Z93" s="187"/>
      <c r="AA93" s="177"/>
    </row>
    <row r="94" spans="1:27">
      <c r="A94" s="187"/>
      <c r="B94" s="187"/>
      <c r="C94" s="187"/>
      <c r="D94" s="187"/>
      <c r="E94" s="187"/>
      <c r="F94" s="187"/>
      <c r="G94" s="188"/>
      <c r="H94" s="187"/>
      <c r="I94" s="187"/>
      <c r="J94" s="187"/>
      <c r="K94" s="187"/>
      <c r="L94" s="187"/>
      <c r="M94" s="187"/>
      <c r="N94" s="187"/>
      <c r="O94" s="187"/>
      <c r="P94" s="187"/>
      <c r="Q94" s="187"/>
      <c r="R94" s="187"/>
      <c r="S94" s="187"/>
      <c r="T94" s="187"/>
      <c r="U94" s="190"/>
      <c r="V94" s="187"/>
      <c r="W94" s="187"/>
      <c r="X94" s="187"/>
      <c r="Y94" s="187"/>
      <c r="Z94" s="187"/>
      <c r="AA94" s="177"/>
    </row>
    <row r="95" spans="1:27">
      <c r="A95" s="187"/>
      <c r="B95" s="187"/>
      <c r="C95" s="187"/>
      <c r="D95" s="187"/>
      <c r="E95" s="187"/>
      <c r="F95" s="187"/>
      <c r="G95" s="188"/>
      <c r="H95" s="187"/>
      <c r="I95" s="187"/>
      <c r="J95" s="187"/>
      <c r="K95" s="187"/>
      <c r="L95" s="187"/>
      <c r="M95" s="187"/>
      <c r="N95" s="187"/>
      <c r="O95" s="187"/>
      <c r="P95" s="187"/>
      <c r="Q95" s="187"/>
      <c r="R95" s="187"/>
      <c r="S95" s="187"/>
      <c r="T95" s="187"/>
      <c r="U95" s="190"/>
      <c r="V95" s="187"/>
      <c r="W95" s="187"/>
      <c r="X95" s="187"/>
      <c r="Y95" s="187"/>
      <c r="Z95" s="187"/>
      <c r="AA95" s="177"/>
    </row>
    <row r="96" spans="1:27">
      <c r="A96" s="187"/>
      <c r="B96" s="187"/>
      <c r="C96" s="187"/>
      <c r="D96" s="187"/>
      <c r="E96" s="187"/>
      <c r="F96" s="187"/>
      <c r="G96" s="188"/>
      <c r="H96" s="187"/>
      <c r="I96" s="187"/>
      <c r="J96" s="187"/>
      <c r="K96" s="187"/>
      <c r="L96" s="187"/>
      <c r="M96" s="187"/>
      <c r="N96" s="187"/>
      <c r="O96" s="187"/>
      <c r="P96" s="187"/>
      <c r="Q96" s="187"/>
      <c r="R96" s="187"/>
      <c r="S96" s="187"/>
      <c r="T96" s="187"/>
      <c r="U96" s="190"/>
      <c r="V96" s="187"/>
      <c r="W96" s="187"/>
      <c r="X96" s="187"/>
      <c r="Y96" s="187"/>
      <c r="Z96" s="187"/>
      <c r="AA96" s="177"/>
    </row>
    <row r="97" spans="1:27">
      <c r="A97" s="187"/>
      <c r="B97" s="187"/>
      <c r="C97" s="187"/>
      <c r="D97" s="187"/>
      <c r="E97" s="187"/>
      <c r="F97" s="187"/>
      <c r="G97" s="188"/>
      <c r="H97" s="187"/>
      <c r="I97" s="187"/>
      <c r="J97" s="187"/>
      <c r="K97" s="187"/>
      <c r="L97" s="187"/>
      <c r="M97" s="187"/>
      <c r="N97" s="187"/>
      <c r="O97" s="187"/>
      <c r="P97" s="187"/>
      <c r="Q97" s="187"/>
      <c r="R97" s="187"/>
      <c r="S97" s="187"/>
      <c r="T97" s="187"/>
      <c r="U97" s="190"/>
      <c r="V97" s="187"/>
      <c r="W97" s="187"/>
      <c r="X97" s="187"/>
      <c r="Y97" s="187"/>
      <c r="Z97" s="187"/>
      <c r="AA97" s="177"/>
    </row>
    <row r="98" spans="1:27">
      <c r="A98" s="187"/>
      <c r="B98" s="187"/>
      <c r="C98" s="187"/>
      <c r="D98" s="187"/>
      <c r="E98" s="187"/>
      <c r="F98" s="187"/>
      <c r="G98" s="188"/>
      <c r="H98" s="187"/>
      <c r="I98" s="187"/>
      <c r="J98" s="187"/>
      <c r="K98" s="187"/>
      <c r="L98" s="187"/>
      <c r="M98" s="187"/>
      <c r="N98" s="187"/>
      <c r="O98" s="187"/>
      <c r="P98" s="187"/>
      <c r="Q98" s="187"/>
      <c r="R98" s="187"/>
      <c r="S98" s="187"/>
      <c r="T98" s="187"/>
      <c r="U98" s="190"/>
      <c r="V98" s="187"/>
      <c r="W98" s="187"/>
      <c r="X98" s="187"/>
      <c r="Y98" s="187"/>
      <c r="Z98" s="187"/>
      <c r="AA98" s="177"/>
    </row>
    <row r="99" spans="1:27">
      <c r="A99" s="187"/>
      <c r="B99" s="187"/>
      <c r="C99" s="187"/>
      <c r="D99" s="187"/>
      <c r="E99" s="187"/>
      <c r="F99" s="187"/>
      <c r="G99" s="188"/>
      <c r="H99" s="187"/>
      <c r="I99" s="187"/>
      <c r="J99" s="187"/>
      <c r="K99" s="187"/>
      <c r="L99" s="187"/>
      <c r="M99" s="187"/>
      <c r="N99" s="187"/>
      <c r="O99" s="187"/>
      <c r="P99" s="187"/>
      <c r="Q99" s="187"/>
      <c r="R99" s="187"/>
      <c r="S99" s="187"/>
      <c r="T99" s="187"/>
      <c r="U99" s="190"/>
      <c r="V99" s="187"/>
      <c r="W99" s="187"/>
      <c r="X99" s="187"/>
      <c r="Y99" s="187"/>
      <c r="Z99" s="187"/>
      <c r="AA99" s="177"/>
    </row>
    <row r="100" spans="1:27">
      <c r="A100" s="187"/>
      <c r="B100" s="187"/>
      <c r="C100" s="187"/>
      <c r="D100" s="187"/>
      <c r="E100" s="187"/>
      <c r="F100" s="187"/>
      <c r="G100" s="188"/>
      <c r="H100" s="187"/>
      <c r="I100" s="187"/>
      <c r="J100" s="187"/>
      <c r="K100" s="187"/>
      <c r="L100" s="187"/>
      <c r="M100" s="187"/>
      <c r="N100" s="187"/>
      <c r="O100" s="187"/>
      <c r="P100" s="187"/>
      <c r="Q100" s="187"/>
      <c r="R100" s="187"/>
      <c r="S100" s="187"/>
      <c r="T100" s="187"/>
      <c r="U100" s="190"/>
      <c r="V100" s="187"/>
      <c r="W100" s="187"/>
      <c r="X100" s="187"/>
      <c r="Y100" s="187"/>
      <c r="Z100" s="187"/>
      <c r="AA100" s="177"/>
    </row>
    <row r="101" spans="1:27">
      <c r="A101" s="187"/>
      <c r="B101" s="187"/>
      <c r="C101" s="187"/>
      <c r="D101" s="187"/>
      <c r="E101" s="187"/>
      <c r="F101" s="187"/>
      <c r="G101" s="188"/>
      <c r="H101" s="187"/>
      <c r="I101" s="187"/>
      <c r="J101" s="187"/>
      <c r="K101" s="187"/>
      <c r="L101" s="187"/>
      <c r="M101" s="187"/>
      <c r="N101" s="187"/>
      <c r="O101" s="187"/>
      <c r="P101" s="187"/>
      <c r="Q101" s="187"/>
      <c r="R101" s="187"/>
      <c r="S101" s="187"/>
      <c r="T101" s="187"/>
      <c r="U101" s="190"/>
      <c r="V101" s="187"/>
      <c r="W101" s="187"/>
      <c r="X101" s="187"/>
      <c r="Y101" s="187"/>
      <c r="Z101" s="187"/>
      <c r="AA101" s="177"/>
    </row>
    <row r="102" spans="1:27">
      <c r="A102" s="269"/>
      <c r="B102" s="269"/>
      <c r="C102" s="269"/>
      <c r="D102" s="269"/>
      <c r="E102" s="269"/>
      <c r="F102" s="269"/>
      <c r="G102" s="270"/>
      <c r="H102" s="269"/>
      <c r="I102" s="269"/>
      <c r="J102" s="269"/>
      <c r="K102" s="269"/>
      <c r="L102" s="269"/>
      <c r="M102" s="269"/>
      <c r="N102" s="269"/>
      <c r="O102" s="269"/>
      <c r="P102" s="269"/>
      <c r="Q102" s="269"/>
      <c r="R102" s="269"/>
      <c r="S102" s="269"/>
      <c r="T102" s="269"/>
      <c r="U102" s="178"/>
      <c r="V102" s="269"/>
      <c r="W102" s="269"/>
      <c r="X102" s="269"/>
      <c r="Y102" s="269"/>
      <c r="Z102" s="269"/>
      <c r="AA102" s="177"/>
    </row>
  </sheetData>
  <sheetProtection algorithmName="SHA-512" hashValue="bZn5BxNoQji7e1OWgd53ovX541s0yIMhHlSN7b6uPqCJHi2+HVCy3Ji5mYlhYKsqPcL7cRV0iAgdJo4VuP7CPw==" saltValue="3v/sh/XiDIsewZ/5WLObCA==" spinCount="100000" sheet="1" selectLockedCells="1" objects="1" scenarios="1"/>
  <conditionalFormatting sqref="H7">
    <cfRule type="cellIs" dxfId="0" priority="9" operator="lessThan">
      <formula>VIN_op_min</formula>
    </cfRule>
    <cfRule type="cellIs" dxfId="0" priority="10" operator="greaterThan">
      <formula>VIN_op_max</formula>
    </cfRule>
  </conditionalFormatting>
  <conditionalFormatting sqref="H8">
    <cfRule type="cellIs" dxfId="0" priority="8" operator="notBetween">
      <formula>$H$7</formula>
      <formula>$H$9</formula>
    </cfRule>
  </conditionalFormatting>
  <conditionalFormatting sqref="H9">
    <cfRule type="cellIs" dxfId="0" priority="5" operator="greaterThan">
      <formula>VIN_op_max</formula>
    </cfRule>
    <cfRule type="cellIs" dxfId="0" priority="6" operator="lessThan">
      <formula>VIN_op_min</formula>
    </cfRule>
  </conditionalFormatting>
  <conditionalFormatting sqref="H12">
    <cfRule type="cellIs" dxfId="0" priority="1" operator="notBetween">
      <formula>100</formula>
      <formula>1000</formula>
    </cfRule>
  </conditionalFormatting>
  <conditionalFormatting sqref="H16">
    <cfRule type="expression" dxfId="1" priority="2">
      <formula>$H$16&gt;$H$15</formula>
    </cfRule>
  </conditionalFormatting>
  <conditionalFormatting sqref="H59">
    <cfRule type="expression" dxfId="2" priority="3">
      <formula>Loop_Modeling!$B$16&gt;$H$9</formula>
    </cfRule>
    <cfRule type="expression" dxfId="2" priority="4">
      <formula>Loop_Modeling!$B$16&lt;$H$7</formula>
    </cfRule>
  </conditionalFormatting>
  <hyperlinks>
    <hyperlink ref="O3" location="Licenses!A1" display="TERMS OF USE"/>
  </hyperlinks>
  <pageMargins left="0.2" right="0.2" top="0.25" bottom="0.25" header="0" footer="0"/>
  <pageSetup paperSize="9" scale="44" orientation="portrait"/>
  <headerFooter/>
  <drawing r:id="rId2"/>
  <legacyDrawing r:id="rId3"/>
  <mc:AlternateContent xmlns:mc="http://schemas.openxmlformats.org/markup-compatibility/2006">
    <mc:Choice Requires="x14">
      <controls>
        <mc:AlternateContent xmlns:mc="http://schemas.openxmlformats.org/markup-compatibility/2006">
          <mc:Choice Requires="x14">
            <control shapeId="1060" name="Spinner 36" r:id="rId4">
              <controlPr defaultSize="0">
                <anchor moveWithCells="1" sizeWithCells="1">
                  <from>
                    <xdr:col>7</xdr:col>
                    <xdr:colOff>751840</xdr:colOff>
                    <xdr:row>58</xdr:row>
                    <xdr:rowOff>0</xdr:rowOff>
                  </from>
                  <to>
                    <xdr:col>8</xdr:col>
                    <xdr:colOff>269240</xdr:colOff>
                    <xdr:row>60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47"/>
  <sheetViews>
    <sheetView topLeftCell="A7" workbookViewId="0">
      <selection activeCell="A50" sqref="A50"/>
    </sheetView>
  </sheetViews>
  <sheetFormatPr defaultColWidth="9.14285714285714" defaultRowHeight="14.25"/>
  <cols>
    <col min="1" max="1" width="25.7142857142857" style="150" customWidth="1"/>
    <col min="2" max="2" width="56.5714285714286" style="151" customWidth="1"/>
    <col min="3" max="11" width="9.14285714285714" style="152"/>
    <col min="12" max="12" width="20.4285714285714" style="152" customWidth="1"/>
    <col min="13" max="16384" width="9.14285714285714" style="152"/>
  </cols>
  <sheetData>
    <row r="1" spans="1:12">
      <c r="B1" s="150"/>
      <c r="C1" s="150"/>
      <c r="D1" s="150"/>
      <c r="E1" s="150"/>
      <c r="F1" s="150"/>
      <c r="G1" s="150"/>
      <c r="H1" s="150"/>
      <c r="I1" s="150"/>
      <c r="J1" s="150"/>
      <c r="K1" s="150"/>
      <c r="L1" s="150"/>
    </row>
    <row r="2" spans="1:12">
      <c r="B2" s="150"/>
      <c r="C2" s="150"/>
      <c r="D2" s="150"/>
      <c r="E2" s="150"/>
      <c r="F2" s="150"/>
      <c r="G2" s="150"/>
      <c r="H2" s="150"/>
      <c r="I2" s="150"/>
      <c r="J2" s="150"/>
      <c r="K2" s="150"/>
      <c r="L2" s="150"/>
    </row>
    <row r="3" spans="1:12">
      <c r="B3" s="150"/>
      <c r="C3" s="150"/>
      <c r="D3" s="150"/>
      <c r="E3" s="150"/>
      <c r="F3" s="150"/>
      <c r="G3" s="150"/>
      <c r="H3" s="150"/>
      <c r="I3" s="150"/>
      <c r="J3" s="150"/>
      <c r="K3" s="150"/>
      <c r="L3" s="150"/>
    </row>
    <row r="4" spans="1:12">
      <c r="A4" s="153"/>
      <c r="B4" s="153"/>
      <c r="C4" s="153"/>
      <c r="D4" s="153"/>
      <c r="E4" s="153"/>
      <c r="F4" s="153"/>
      <c r="G4" s="153"/>
      <c r="H4" s="153"/>
      <c r="I4" s="153"/>
      <c r="J4" s="153"/>
      <c r="K4" s="153"/>
      <c r="L4" s="153"/>
    </row>
    <row r="5" spans="1:12">
      <c r="A5" s="154" t="s">
        <v>84</v>
      </c>
      <c r="B5" s="155" t="s">
        <v>85</v>
      </c>
      <c r="C5" s="156"/>
      <c r="D5" s="156"/>
      <c r="E5" s="156"/>
      <c r="F5" s="156"/>
      <c r="G5" s="156"/>
      <c r="H5" s="156"/>
      <c r="I5" s="156"/>
      <c r="J5" s="156"/>
      <c r="K5" s="157"/>
      <c r="L5" s="158"/>
    </row>
    <row r="6" spans="1:12">
      <c r="A6" s="154"/>
      <c r="B6" s="159"/>
      <c r="C6" s="156"/>
      <c r="D6" s="156"/>
      <c r="E6" s="156"/>
      <c r="F6" s="156"/>
      <c r="G6" s="156"/>
      <c r="H6" s="156"/>
      <c r="I6" s="156"/>
      <c r="J6" s="158"/>
      <c r="K6" s="158"/>
      <c r="L6" s="158"/>
    </row>
    <row r="35" spans="1:39">
      <c r="A35" s="160" t="s">
        <v>86</v>
      </c>
      <c r="B35" s="161"/>
      <c r="C35" s="156"/>
      <c r="D35" s="156"/>
      <c r="E35" s="156"/>
      <c r="F35" s="156"/>
      <c r="G35" s="156"/>
      <c r="H35" s="156"/>
      <c r="I35" s="156"/>
      <c r="J35" s="156"/>
      <c r="K35" s="156"/>
    </row>
    <row r="36" spans="1:39">
      <c r="A36" s="162" t="s">
        <v>87</v>
      </c>
      <c r="B36" s="163" t="s">
        <v>88</v>
      </c>
      <c r="C36" s="163"/>
      <c r="D36" s="163"/>
      <c r="E36" s="163"/>
      <c r="F36" s="163"/>
      <c r="G36" s="163"/>
      <c r="H36" s="163"/>
      <c r="I36" s="163"/>
      <c r="J36" s="163"/>
      <c r="K36" s="163"/>
    </row>
    <row r="37" spans="1:39">
      <c r="A37" s="160" t="s">
        <v>85</v>
      </c>
      <c r="B37" s="164" t="s">
        <v>89</v>
      </c>
      <c r="C37" s="164"/>
      <c r="D37" s="164"/>
      <c r="E37" s="164"/>
      <c r="F37" s="164"/>
      <c r="G37" s="164"/>
      <c r="H37" s="164"/>
      <c r="I37" s="164"/>
      <c r="J37" s="164"/>
      <c r="K37" s="164"/>
    </row>
    <row r="38" spans="1:39">
      <c r="A38" s="165"/>
      <c r="B38" s="166"/>
      <c r="C38" s="166"/>
      <c r="D38" s="166"/>
      <c r="E38" s="166"/>
      <c r="F38" s="166"/>
      <c r="G38" s="166"/>
      <c r="H38" s="166"/>
      <c r="I38" s="166"/>
      <c r="J38" s="166"/>
      <c r="K38" s="166"/>
    </row>
    <row r="39" spans="1:39">
      <c r="A39" s="165"/>
      <c r="B39" s="166"/>
      <c r="C39" s="166"/>
      <c r="D39" s="166"/>
      <c r="E39" s="166"/>
      <c r="F39" s="166"/>
      <c r="G39" s="166"/>
      <c r="H39" s="166"/>
      <c r="I39" s="166"/>
      <c r="J39" s="166"/>
      <c r="K39" s="166"/>
    </row>
    <row r="40" spans="1:39">
      <c r="A40" s="165"/>
      <c r="B40" s="166"/>
      <c r="C40" s="166"/>
      <c r="D40" s="166"/>
      <c r="E40" s="166"/>
      <c r="F40" s="166"/>
      <c r="G40" s="166"/>
      <c r="H40" s="166"/>
      <c r="I40" s="166"/>
      <c r="J40" s="166"/>
      <c r="K40" s="166"/>
    </row>
    <row r="41" spans="1:39">
      <c r="A41" s="165"/>
      <c r="B41" s="166"/>
      <c r="C41" s="166"/>
      <c r="D41" s="166"/>
      <c r="E41" s="166"/>
      <c r="F41" s="166"/>
      <c r="G41" s="166"/>
      <c r="H41" s="166"/>
      <c r="I41" s="166"/>
      <c r="J41" s="166"/>
      <c r="K41" s="166"/>
    </row>
    <row r="42" spans="1:39">
      <c r="A42" s="165"/>
      <c r="B42" s="166"/>
      <c r="C42" s="166"/>
      <c r="D42" s="166"/>
      <c r="E42" s="166"/>
      <c r="F42" s="166"/>
      <c r="G42" s="166"/>
      <c r="H42" s="166"/>
      <c r="I42" s="166"/>
      <c r="J42" s="166"/>
      <c r="K42" s="166"/>
    </row>
    <row r="43" spans="1:39">
      <c r="A43" s="165"/>
      <c r="B43" s="166"/>
      <c r="C43" s="166"/>
      <c r="D43" s="166"/>
      <c r="E43" s="166"/>
      <c r="F43" s="166"/>
      <c r="G43" s="166"/>
      <c r="H43" s="166"/>
      <c r="I43" s="166"/>
      <c r="J43" s="166"/>
      <c r="K43" s="166"/>
    </row>
    <row r="44" ht="15" spans="1:39">
      <c r="A44" s="165"/>
      <c r="B44" s="166"/>
      <c r="C44" s="166"/>
      <c r="D44" s="166"/>
      <c r="E44" s="166"/>
      <c r="F44" s="166"/>
      <c r="G44" s="166"/>
      <c r="H44" s="166"/>
      <c r="I44" s="166"/>
      <c r="J44" s="166"/>
      <c r="K44" s="166"/>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row>
    <row r="45" spans="1:39">
      <c r="A45" s="165"/>
      <c r="B45" s="166"/>
      <c r="C45" s="166"/>
      <c r="D45" s="166"/>
      <c r="E45" s="166"/>
      <c r="F45" s="166"/>
      <c r="G45" s="166"/>
      <c r="H45" s="166"/>
      <c r="I45" s="166"/>
      <c r="J45" s="166"/>
      <c r="K45" s="166"/>
    </row>
    <row r="46" spans="1:39">
      <c r="A46" s="165"/>
      <c r="B46" s="166"/>
      <c r="C46" s="166"/>
      <c r="D46" s="166"/>
      <c r="E46" s="166"/>
      <c r="F46" s="166"/>
      <c r="G46" s="166"/>
      <c r="H46" s="166"/>
      <c r="I46" s="166"/>
      <c r="J46" s="166"/>
      <c r="K46" s="166"/>
    </row>
    <row r="47" spans="1:39">
      <c r="A47" s="165"/>
      <c r="B47" s="166"/>
    </row>
  </sheetData>
  <sheetProtection algorithmName="SHA-512" hashValue="rCkc88BxOJWQBe78FPqt7ICVbVz8nKNKE2ce/WFibG/yE/6MwiXhVzvzNZ/2E2b/sxv5Bcf6aJyMuWEv2OSzgw==" saltValue="2OMgcJZhoSr8okNqcdjVFg==" spinCount="100000" sheet="1" selectLockedCells="1" objects="1" scenarios="1"/>
  <mergeCells count="5">
    <mergeCell ref="A4:L4"/>
    <mergeCell ref="B36:K36"/>
    <mergeCell ref="B37:K37"/>
    <mergeCell ref="B38:K38"/>
    <mergeCell ref="A1:L3"/>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263"/>
  <sheetViews>
    <sheetView zoomScale="85" zoomScaleNormal="85" workbookViewId="0">
      <pane ySplit="5" topLeftCell="A6" activePane="bottomLeft" state="frozen"/>
      <selection/>
      <selection pane="bottomLeft" activeCell="C247" sqref="C247"/>
    </sheetView>
  </sheetViews>
  <sheetFormatPr defaultColWidth="9" defaultRowHeight="15"/>
  <cols>
    <col min="1" max="1" width="28.8571428571429" customWidth="1"/>
    <col min="2" max="2" width="19.5714285714286" customWidth="1"/>
    <col min="3" max="3" width="10.8571428571429" customWidth="1"/>
    <col min="4" max="4" width="10" customWidth="1"/>
    <col min="5" max="5" width="18.5714285714286" customWidth="1"/>
    <col min="6" max="6" width="14.8571428571429" customWidth="1"/>
    <col min="7" max="7" width="15.1428571428571" customWidth="1"/>
    <col min="8" max="9" width="12.5714285714286" customWidth="1"/>
    <col min="12" max="12" width="12.4285714285714" customWidth="1"/>
  </cols>
  <sheetData>
    <row r="1" ht="27.75" spans="1:17">
      <c r="A1" s="1" t="s">
        <v>90</v>
      </c>
      <c r="B1" s="1"/>
      <c r="C1" s="1"/>
      <c r="D1" s="1"/>
      <c r="E1" s="1"/>
      <c r="F1" s="1"/>
      <c r="G1" s="1"/>
      <c r="H1" s="1"/>
      <c r="I1" s="1"/>
      <c r="J1" s="1"/>
    </row>
    <row r="2" spans="1:17">
      <c r="A2" s="2"/>
      <c r="B2" s="2" t="s">
        <v>91</v>
      </c>
      <c r="C2" s="3"/>
      <c r="D2" s="4"/>
      <c r="E2" s="2"/>
      <c r="F2" s="2"/>
      <c r="G2" s="2"/>
      <c r="H2" s="2"/>
      <c r="I2" s="2"/>
      <c r="J2" s="2"/>
    </row>
    <row r="3" spans="1:17">
      <c r="A3" s="2"/>
      <c r="B3" s="2" t="s">
        <v>92</v>
      </c>
      <c r="C3" s="5"/>
      <c r="D3" s="4"/>
      <c r="E3" s="2"/>
      <c r="F3" s="20" t="s">
        <v>93</v>
      </c>
      <c r="G3" s="21" t="s">
        <v>94</v>
      </c>
      <c r="H3" s="22" t="s">
        <v>95</v>
      </c>
      <c r="I3" s="2"/>
      <c r="J3" s="2"/>
    </row>
    <row r="4" spans="1:17">
      <c r="A4" s="2"/>
      <c r="B4" s="2" t="s">
        <v>96</v>
      </c>
      <c r="C4" s="6"/>
      <c r="D4" s="4"/>
      <c r="E4" s="2"/>
      <c r="F4" s="2"/>
      <c r="G4" s="2"/>
      <c r="H4" s="2"/>
      <c r="I4" s="2"/>
      <c r="J4" s="2"/>
    </row>
    <row r="5" spans="1:17">
      <c r="A5" s="7" t="s">
        <v>97</v>
      </c>
      <c r="B5" s="7" t="s">
        <v>98</v>
      </c>
      <c r="C5" s="7" t="s">
        <v>99</v>
      </c>
      <c r="D5" s="4"/>
      <c r="E5" s="8" t="s">
        <v>100</v>
      </c>
      <c r="F5" s="8"/>
      <c r="G5" s="8"/>
      <c r="H5" s="8"/>
      <c r="I5" s="8"/>
      <c r="J5" s="41" t="s">
        <v>101</v>
      </c>
      <c r="K5" s="7" t="s">
        <v>102</v>
      </c>
      <c r="L5" s="4"/>
      <c r="M5" s="4"/>
      <c r="N5" s="4"/>
      <c r="O5" s="4"/>
      <c r="P5" s="4"/>
      <c r="Q5" s="4"/>
    </row>
    <row r="6" ht="15.75" spans="1:17">
      <c r="A6" s="116" t="s">
        <v>103</v>
      </c>
      <c r="B6" s="117"/>
      <c r="C6" s="117"/>
      <c r="D6" s="117"/>
      <c r="E6" s="118"/>
      <c r="F6" s="118"/>
      <c r="G6" s="118"/>
      <c r="H6" s="118"/>
      <c r="I6" s="118"/>
      <c r="J6" s="117"/>
      <c r="K6" s="4"/>
      <c r="L6" s="4"/>
      <c r="M6" s="4"/>
      <c r="N6" s="4"/>
      <c r="O6" s="4"/>
      <c r="P6" s="4"/>
      <c r="Q6" s="4"/>
    </row>
    <row r="7" spans="1:17">
      <c r="A7" t="s">
        <v>104</v>
      </c>
      <c r="B7" s="15">
        <f>'Design Converter'!H7</f>
        <v>3</v>
      </c>
      <c r="C7" t="s">
        <v>7</v>
      </c>
      <c r="E7" t="s">
        <v>105</v>
      </c>
    </row>
    <row r="8" spans="1:17">
      <c r="A8" t="s">
        <v>106</v>
      </c>
      <c r="B8" s="15">
        <f>'Design Converter'!H8</f>
        <v>3.7</v>
      </c>
      <c r="C8" t="s">
        <v>7</v>
      </c>
      <c r="E8" t="s">
        <v>107</v>
      </c>
      <c r="K8">
        <f>IF(VIN_min&lt;VIN_min,1,IF(VIN_nom&gt;VIN_max,1,0))</f>
        <v>0</v>
      </c>
    </row>
    <row r="9" spans="1:17">
      <c r="A9" t="s">
        <v>108</v>
      </c>
      <c r="B9" s="15">
        <f>'Design Converter'!H9</f>
        <v>12.6</v>
      </c>
      <c r="C9" t="s">
        <v>7</v>
      </c>
      <c r="E9" t="s">
        <v>109</v>
      </c>
    </row>
    <row r="10" customFormat="1" spans="1:17">
      <c r="A10" t="s">
        <v>110</v>
      </c>
      <c r="B10" s="15">
        <f>'Design Converter'!H12*1000</f>
        <v>700000</v>
      </c>
      <c r="C10" t="s">
        <v>111</v>
      </c>
      <c r="E10" t="s">
        <v>112</v>
      </c>
    </row>
    <row r="11" customFormat="1" spans="1:17">
      <c r="A11" t="s">
        <v>113</v>
      </c>
      <c r="B11" s="89">
        <f>(4.503*10^11)*Fsw^-1.26</f>
        <v>19439.2012767176</v>
      </c>
      <c r="C11" s="16" t="s">
        <v>35</v>
      </c>
      <c r="E11" t="s">
        <v>114</v>
      </c>
    </row>
    <row r="13" spans="1:17">
      <c r="A13" t="s">
        <v>115</v>
      </c>
      <c r="B13" s="15">
        <f>'Design Converter'!H10</f>
        <v>10</v>
      </c>
      <c r="C13" t="s">
        <v>7</v>
      </c>
      <c r="E13" t="s">
        <v>116</v>
      </c>
    </row>
    <row r="14" spans="1:17">
      <c r="A14" t="s">
        <v>117</v>
      </c>
      <c r="B14" s="15">
        <f>'Design Converter'!H11</f>
        <v>2.5</v>
      </c>
      <c r="C14" t="s">
        <v>12</v>
      </c>
      <c r="E14" t="s">
        <v>118</v>
      </c>
    </row>
    <row r="15" spans="1:17">
      <c r="A15" t="s">
        <v>119</v>
      </c>
      <c r="B15" s="12">
        <f>VOUT/IOUT</f>
        <v>4</v>
      </c>
      <c r="C15" s="16" t="s">
        <v>35</v>
      </c>
      <c r="E15" t="s">
        <v>120</v>
      </c>
    </row>
    <row r="16" spans="1:17">
      <c r="A16" t="s">
        <v>121</v>
      </c>
      <c r="B16" s="12">
        <f>VOUT*IOUT</f>
        <v>25</v>
      </c>
      <c r="C16" s="16" t="s">
        <v>18</v>
      </c>
      <c r="E16" t="s">
        <v>122</v>
      </c>
    </row>
    <row r="17" spans="1:11">
      <c r="A17" t="s">
        <v>123</v>
      </c>
      <c r="B17" s="119">
        <v>1</v>
      </c>
      <c r="E17" t="s">
        <v>124</v>
      </c>
    </row>
    <row r="19" spans="1:11">
      <c r="A19" t="s">
        <v>125</v>
      </c>
      <c r="B19" s="12">
        <f>(VOUT)/(VIN_min+VOUT)</f>
        <v>0.769230769230769</v>
      </c>
      <c r="E19" t="s">
        <v>126</v>
      </c>
    </row>
    <row r="20" customFormat="1" spans="1:11">
      <c r="A20" t="s">
        <v>127</v>
      </c>
      <c r="B20" s="10">
        <f>Constants!B20</f>
        <v>0.97</v>
      </c>
      <c r="E20" t="s">
        <v>128</v>
      </c>
    </row>
    <row r="21" customFormat="1" spans="1:11">
      <c r="A21" t="s">
        <v>129</v>
      </c>
      <c r="B21" s="120">
        <f>IF(B19&gt;Dc_max_IC,1,0)</f>
        <v>0</v>
      </c>
      <c r="E21" t="s">
        <v>130</v>
      </c>
      <c r="K21">
        <f>B21</f>
        <v>0</v>
      </c>
    </row>
    <row r="22" customFormat="1" spans="1:11">
      <c r="E22" s="17" t="s">
        <v>131</v>
      </c>
    </row>
    <row r="23" customFormat="1" spans="1:11">
      <c r="E23" s="17"/>
    </row>
    <row r="24" customFormat="1" spans="1:11">
      <c r="A24" t="s">
        <v>132</v>
      </c>
      <c r="B24" s="85">
        <v>1</v>
      </c>
      <c r="E24" s="121" t="s">
        <v>133</v>
      </c>
    </row>
    <row r="26" spans="1:11">
      <c r="A26" s="122" t="s">
        <v>22</v>
      </c>
    </row>
    <row r="27" customFormat="1" spans="1:11">
      <c r="A27" s="123" t="s">
        <v>134</v>
      </c>
      <c r="E27" t="s">
        <v>135</v>
      </c>
    </row>
    <row r="28" spans="1:11">
      <c r="A28" t="s">
        <v>136</v>
      </c>
      <c r="B28" s="15">
        <f>'Design Converter'!H20/100</f>
        <v>0.6</v>
      </c>
      <c r="E28" t="s">
        <v>137</v>
      </c>
    </row>
    <row r="29" customFormat="1" spans="1:11">
      <c r="A29" t="s">
        <v>138</v>
      </c>
      <c r="B29" s="124">
        <f>(VIN_nom^2)/(2*ILrip*IOUT*Fsw*(VIN_nom+VOUT))</f>
        <v>4.75842891901286e-7</v>
      </c>
      <c r="C29" t="s">
        <v>139</v>
      </c>
      <c r="E29" t="s">
        <v>140</v>
      </c>
    </row>
    <row r="31" customFormat="1" spans="1:11">
      <c r="A31" s="125" t="s">
        <v>141</v>
      </c>
      <c r="E31" t="s">
        <v>142</v>
      </c>
    </row>
    <row r="32" customFormat="1" spans="1:11">
      <c r="A32" s="121" t="s">
        <v>143</v>
      </c>
      <c r="B32" s="126">
        <v>0.7</v>
      </c>
      <c r="E32" t="s">
        <v>144</v>
      </c>
    </row>
    <row r="33" customFormat="1" spans="1:5">
      <c r="A33" t="s">
        <v>145</v>
      </c>
      <c r="B33" s="124">
        <f>((DC_DCM_max^2)*(VIN_min^2))/(2*IOUT*VOUT*Fsw-2*IOUT*VIN_min*Fsw)</f>
        <v>1.8e-7</v>
      </c>
      <c r="C33" t="s">
        <v>139</v>
      </c>
      <c r="E33" t="s">
        <v>146</v>
      </c>
    </row>
    <row r="34" customFormat="1" spans="1:5">
      <c r="A34" t="s">
        <v>147</v>
      </c>
      <c r="B34" s="10">
        <v>0.2</v>
      </c>
      <c r="E34" t="s">
        <v>148</v>
      </c>
    </row>
    <row r="35" customFormat="1" spans="1:5">
      <c r="A35" t="s">
        <v>149</v>
      </c>
      <c r="B35" s="124">
        <f>(1-M_L_DCM)*((VIN_min^2)*(1-(VIN_min/VOUT)))/(2*IOUT*VOUT*Fsw)</f>
        <v>1.44e-7</v>
      </c>
      <c r="C35" t="s">
        <v>139</v>
      </c>
      <c r="E35" t="s">
        <v>150</v>
      </c>
    </row>
    <row r="36" customFormat="1" spans="1:5">
      <c r="A36" t="s">
        <v>151</v>
      </c>
      <c r="B36" s="124">
        <f>MIN(B33,B35)</f>
        <v>1.44e-7</v>
      </c>
      <c r="C36" t="s">
        <v>139</v>
      </c>
      <c r="E36" t="s">
        <v>152</v>
      </c>
    </row>
    <row r="37" customFormat="1" spans="1:5">
      <c r="B37" s="127"/>
    </row>
    <row r="38" customFormat="1" spans="1:5">
      <c r="A38" t="s">
        <v>153</v>
      </c>
      <c r="B38" s="124">
        <f>IF(B21=1,B36,Lopt_2)</f>
        <v>4.75842891901286e-7</v>
      </c>
      <c r="E38" t="s">
        <v>154</v>
      </c>
    </row>
    <row r="39" customFormat="1"/>
    <row r="40" spans="1:5">
      <c r="A40" t="s">
        <v>155</v>
      </c>
      <c r="B40" s="128">
        <f>'Design Converter'!H22*10^-6</f>
        <v>1e-5</v>
      </c>
      <c r="C40" t="s">
        <v>139</v>
      </c>
      <c r="E40" t="s">
        <v>156</v>
      </c>
    </row>
    <row r="41" customFormat="1" spans="1:5">
      <c r="B41" s="128">
        <f>Lm</f>
        <v>1e-5</v>
      </c>
      <c r="E41" t="s">
        <v>157</v>
      </c>
    </row>
    <row r="42" customFormat="1" ht="15.6" customHeight="1" spans="1:5">
      <c r="A42" t="s">
        <v>158</v>
      </c>
      <c r="B42" s="129">
        <f>Lm</f>
        <v>1e-5</v>
      </c>
      <c r="E42" t="s">
        <v>159</v>
      </c>
    </row>
    <row r="43" customFormat="1" ht="15.6" customHeight="1" spans="1:5">
      <c r="B43" s="128">
        <f>Lm</f>
        <v>1e-5</v>
      </c>
      <c r="E43" t="s">
        <v>157</v>
      </c>
    </row>
    <row r="44" customFormat="1" spans="1:5">
      <c r="A44" t="s">
        <v>160</v>
      </c>
      <c r="B44" s="129">
        <f>Lm</f>
        <v>1e-5</v>
      </c>
      <c r="E44" t="s">
        <v>161</v>
      </c>
    </row>
    <row r="45" customFormat="1" spans="1:5">
      <c r="B45" s="129"/>
    </row>
    <row r="46" spans="1:5">
      <c r="A46" t="s">
        <v>162</v>
      </c>
      <c r="B46" s="15">
        <f>10*10^-3</f>
        <v>0.01</v>
      </c>
      <c r="C46" s="16" t="s">
        <v>35</v>
      </c>
      <c r="E46" t="s">
        <v>163</v>
      </c>
    </row>
    <row r="47" customFormat="1" spans="1:5">
      <c r="A47" t="s">
        <v>164</v>
      </c>
      <c r="B47" s="10">
        <v>0.2</v>
      </c>
      <c r="C47" s="16"/>
      <c r="E47" t="s">
        <v>165</v>
      </c>
    </row>
    <row r="48" spans="1:5">
      <c r="B48" t="s">
        <v>166</v>
      </c>
    </row>
    <row r="49" customFormat="1" spans="1:5">
      <c r="A49" s="17" t="s">
        <v>167</v>
      </c>
    </row>
    <row r="50" customFormat="1"/>
    <row r="51" customFormat="1" spans="1:5">
      <c r="A51" s="130" t="s">
        <v>168</v>
      </c>
    </row>
    <row r="52" customFormat="1" spans="1:5">
      <c r="A52" t="s">
        <v>169</v>
      </c>
      <c r="B52">
        <v>1</v>
      </c>
      <c r="E52" t="s">
        <v>170</v>
      </c>
    </row>
    <row r="53" customFormat="1" spans="1:5">
      <c r="A53" t="s">
        <v>171</v>
      </c>
      <c r="B53" s="131">
        <f>IF(B52=0,SQRT((2*IOUT*Lm*Fsw*VOUT/(VIN_min^2))),(VOUT/(VIN_min+VOUT)))</f>
        <v>0.769230769230769</v>
      </c>
      <c r="E53" t="s">
        <v>172</v>
      </c>
    </row>
    <row r="54" customFormat="1" spans="1:5">
      <c r="B54" s="11">
        <f>B53/Fsw</f>
        <v>1.0989010989011e-6</v>
      </c>
      <c r="C54" t="s">
        <v>173</v>
      </c>
      <c r="E54" t="s">
        <v>174</v>
      </c>
    </row>
    <row r="55" customFormat="1" spans="1:5">
      <c r="A55" s="132" t="s">
        <v>175</v>
      </c>
      <c r="B55" s="133"/>
    </row>
    <row r="56" customFormat="1" spans="1:5">
      <c r="A56" t="s">
        <v>176</v>
      </c>
      <c r="B56" s="90">
        <f>(VOUT*IOUT)/(VIN_min)</f>
        <v>8.33333333333333</v>
      </c>
      <c r="C56" t="s">
        <v>12</v>
      </c>
      <c r="E56" t="s">
        <v>177</v>
      </c>
    </row>
    <row r="57" customFormat="1" spans="1:5">
      <c r="A57" t="s">
        <v>178</v>
      </c>
      <c r="B57" s="88">
        <f>(VIN_min*Dc_VIN_min)/(Lm_A*Fsw)</f>
        <v>0.32967032967033</v>
      </c>
      <c r="C57" t="s">
        <v>12</v>
      </c>
      <c r="E57" t="s">
        <v>179</v>
      </c>
    </row>
    <row r="58" spans="1:5">
      <c r="A58" t="s">
        <v>180</v>
      </c>
      <c r="B58" s="88">
        <f>IF(B52=0,(VIN_min*Dc_VIN_min)/(Lm*Fsw),(ILA_avg_VIN_min/EFF_est)+(ILArip_VINmin/2))</f>
        <v>8.4981684981685</v>
      </c>
      <c r="C58" t="s">
        <v>12</v>
      </c>
      <c r="E58" t="s">
        <v>181</v>
      </c>
    </row>
    <row r="59" customFormat="1" spans="1:5">
      <c r="B59" s="11"/>
    </row>
    <row r="60" customFormat="1" spans="1:5">
      <c r="A60" s="132" t="s">
        <v>182</v>
      </c>
      <c r="B60" s="11"/>
      <c r="E60" t="s">
        <v>183</v>
      </c>
    </row>
    <row r="61" customFormat="1" spans="1:5">
      <c r="A61" t="s">
        <v>184</v>
      </c>
      <c r="B61" s="11">
        <f>IOUT</f>
        <v>2.5</v>
      </c>
      <c r="C61" t="s">
        <v>12</v>
      </c>
    </row>
    <row r="62" customFormat="1" spans="1:5">
      <c r="A62" t="s">
        <v>185</v>
      </c>
      <c r="B62" s="11">
        <f>(VIN_min*Dc_VIN_min)/(Lm*Fsw)</f>
        <v>0.32967032967033</v>
      </c>
      <c r="C62" t="s">
        <v>12</v>
      </c>
    </row>
    <row r="63" customFormat="1" spans="1:5">
      <c r="A63" t="s">
        <v>186</v>
      </c>
      <c r="B63" s="11">
        <f>B61+B62/2</f>
        <v>2.66483516483516</v>
      </c>
      <c r="C63" t="s">
        <v>12</v>
      </c>
    </row>
    <row r="64" customFormat="1" spans="1:5">
      <c r="B64" s="88"/>
    </row>
    <row r="65" customFormat="1" spans="1:5">
      <c r="A65" s="132" t="s">
        <v>187</v>
      </c>
      <c r="B65" s="134"/>
    </row>
    <row r="66" customFormat="1" spans="1:5">
      <c r="A66" t="s">
        <v>188</v>
      </c>
      <c r="B66" s="88">
        <f>ILA_avg_VIN_min+B61+B62</f>
        <v>11.1630036630037</v>
      </c>
      <c r="C66" t="s">
        <v>12</v>
      </c>
    </row>
    <row r="67" customFormat="1" spans="1:5">
      <c r="B67" s="134"/>
    </row>
    <row r="68" customFormat="1" spans="1:5">
      <c r="A68" s="130" t="s">
        <v>107</v>
      </c>
      <c r="B68" s="13"/>
    </row>
    <row r="69" customFormat="1" spans="1:5">
      <c r="A69" t="s">
        <v>189</v>
      </c>
      <c r="B69">
        <f>IF(((VIN_nom^2)*VOUT)/(2*Fsw*Lm*((VIN_nom+VOUT)^2))&gt;IOUT,0,1)</f>
        <v>1</v>
      </c>
      <c r="E69" t="s">
        <v>190</v>
      </c>
    </row>
    <row r="70" customFormat="1" spans="1:5">
      <c r="A70" t="s">
        <v>191</v>
      </c>
      <c r="B70" s="12">
        <f>IF(B52=0,SQRT((2*IOUT*Lm*Fsw*VOUT/(VIN_nom^2))),(VOUT/(VIN_nom+VOUT)))</f>
        <v>0.72992700729927</v>
      </c>
      <c r="E70" t="s">
        <v>192</v>
      </c>
    </row>
    <row r="71" customFormat="1" spans="1:5">
      <c r="B71" s="11">
        <f>B70/Fsw</f>
        <v>1.04275286757039e-6</v>
      </c>
      <c r="C71" t="s">
        <v>173</v>
      </c>
      <c r="E71" t="s">
        <v>174</v>
      </c>
    </row>
    <row r="72" customFormat="1" spans="1:5">
      <c r="A72" s="132" t="s">
        <v>175</v>
      </c>
      <c r="B72" s="133"/>
    </row>
    <row r="73" customFormat="1" spans="1:5">
      <c r="A73" t="s">
        <v>193</v>
      </c>
      <c r="B73" s="90">
        <f>(VOUT*IOUT)/(VIN_nom)</f>
        <v>6.75675675675676</v>
      </c>
      <c r="C73" t="s">
        <v>12</v>
      </c>
      <c r="E73" t="s">
        <v>194</v>
      </c>
    </row>
    <row r="74" spans="1:5">
      <c r="A74" t="s">
        <v>195</v>
      </c>
      <c r="B74" s="88">
        <f>(VIN_nom*Dc_VIN_nom)/(Lm*Fsw)</f>
        <v>0.385818561001043</v>
      </c>
      <c r="C74" t="s">
        <v>12</v>
      </c>
      <c r="E74" t="s">
        <v>196</v>
      </c>
    </row>
    <row r="75" spans="1:5">
      <c r="A75" t="s">
        <v>197</v>
      </c>
      <c r="B75" s="88">
        <f>IF(B69=0,(VIN_nom*Dc_VIN_nom)/(Lm*Fsw),(ILA_avg_VIN_nom/EFF_est)+(ILArip_VINnom/2))</f>
        <v>6.94966603725728</v>
      </c>
      <c r="C75" t="s">
        <v>12</v>
      </c>
      <c r="E75" t="s">
        <v>198</v>
      </c>
    </row>
    <row r="76" customFormat="1" spans="1:5">
      <c r="B76" s="134"/>
    </row>
    <row r="77" customFormat="1" spans="1:5">
      <c r="A77" s="132" t="s">
        <v>182</v>
      </c>
      <c r="B77" s="133"/>
    </row>
    <row r="78" customFormat="1" spans="1:5">
      <c r="A78" t="s">
        <v>199</v>
      </c>
      <c r="B78" s="11">
        <f>IOUT</f>
        <v>2.5</v>
      </c>
      <c r="C78" t="s">
        <v>12</v>
      </c>
      <c r="E78" t="s">
        <v>183</v>
      </c>
    </row>
    <row r="79" customFormat="1" spans="1:5">
      <c r="A79" t="s">
        <v>200</v>
      </c>
      <c r="B79" s="11">
        <f>(VIN_nom*Dc_VIN_nom)/(Lm*Fsw)</f>
        <v>0.385818561001043</v>
      </c>
      <c r="C79" t="s">
        <v>12</v>
      </c>
    </row>
    <row r="80" customFormat="1" spans="1:5">
      <c r="A80" t="s">
        <v>201</v>
      </c>
      <c r="B80" s="11">
        <f>B78+B79/2</f>
        <v>2.69290928050052</v>
      </c>
      <c r="C80" t="s">
        <v>12</v>
      </c>
    </row>
    <row r="81" customFormat="1" spans="1:5">
      <c r="B81" s="134"/>
    </row>
    <row r="82" customFormat="1" spans="1:5">
      <c r="A82" s="132" t="s">
        <v>187</v>
      </c>
      <c r="B82" s="134"/>
    </row>
    <row r="83" customFormat="1" spans="1:5">
      <c r="A83" t="s">
        <v>202</v>
      </c>
      <c r="B83" s="88">
        <f>ILA_avg_VIN_nom+B78+B79</f>
        <v>9.6425753177578</v>
      </c>
      <c r="C83" t="s">
        <v>12</v>
      </c>
    </row>
    <row r="84" customFormat="1" spans="1:5">
      <c r="B84" s="13"/>
    </row>
    <row r="85" customFormat="1" spans="1:5">
      <c r="A85" s="130" t="s">
        <v>109</v>
      </c>
      <c r="B85" s="13"/>
    </row>
    <row r="86" customFormat="1" spans="1:5">
      <c r="A86" t="s">
        <v>203</v>
      </c>
      <c r="B86">
        <f>IF(((VIN_nom^2)*VOUT)/(2*Fsw*Lm*((VIN_nom+VOUT)^2))&gt;IOUT,0,1)</f>
        <v>1</v>
      </c>
      <c r="E86" t="s">
        <v>190</v>
      </c>
    </row>
    <row r="87" customFormat="1" spans="1:5">
      <c r="A87" t="s">
        <v>204</v>
      </c>
      <c r="B87" s="12">
        <f>IF(B86=0,SQRT((2*IOUT*Lm*Fsw*VOUT/(VIN_max^2))),(VOUT/(VIN_max+VOUT)))</f>
        <v>0.442477876106195</v>
      </c>
      <c r="E87" t="s">
        <v>205</v>
      </c>
    </row>
    <row r="88" customFormat="1" spans="1:5">
      <c r="B88" s="11">
        <f>B87/Fsw</f>
        <v>6.32111251580278e-7</v>
      </c>
      <c r="C88" t="s">
        <v>173</v>
      </c>
      <c r="E88" t="s">
        <v>174</v>
      </c>
    </row>
    <row r="89" customFormat="1" spans="1:5">
      <c r="A89" s="132" t="s">
        <v>175</v>
      </c>
      <c r="B89" s="133"/>
    </row>
    <row r="90" customFormat="1" spans="1:5">
      <c r="A90" t="s">
        <v>206</v>
      </c>
      <c r="B90" s="90">
        <f>(VOUT*IOUT)/(VIN_max)</f>
        <v>1.98412698412698</v>
      </c>
      <c r="C90" t="s">
        <v>12</v>
      </c>
      <c r="E90" t="s">
        <v>207</v>
      </c>
    </row>
    <row r="91" spans="1:5">
      <c r="A91" t="s">
        <v>208</v>
      </c>
      <c r="B91" s="88">
        <f>(VIN_max*Dc_VIN_max)/(Lm*Fsw)</f>
        <v>0.79646017699115</v>
      </c>
      <c r="C91" t="s">
        <v>12</v>
      </c>
      <c r="E91" t="s">
        <v>209</v>
      </c>
    </row>
    <row r="92" spans="1:5">
      <c r="A92" t="s">
        <v>210</v>
      </c>
      <c r="B92" s="88">
        <f>ILA_avg_VIN_max+ILArip_VINmax/2</f>
        <v>2.38235707262256</v>
      </c>
      <c r="C92" t="s">
        <v>12</v>
      </c>
      <c r="E92" t="s">
        <v>211</v>
      </c>
    </row>
    <row r="94" customFormat="1" spans="1:5">
      <c r="A94" s="132" t="s">
        <v>182</v>
      </c>
      <c r="B94" s="133"/>
      <c r="E94" t="s">
        <v>183</v>
      </c>
    </row>
    <row r="95" customFormat="1" spans="1:5">
      <c r="A95" t="s">
        <v>212</v>
      </c>
      <c r="B95" s="11">
        <f>IOUT</f>
        <v>2.5</v>
      </c>
      <c r="C95" t="s">
        <v>12</v>
      </c>
    </row>
    <row r="96" customFormat="1" spans="1:5">
      <c r="A96" t="s">
        <v>213</v>
      </c>
      <c r="B96" s="11">
        <f>(VIN_max*Dc_VIN_max)/(Lm*Fsw)</f>
        <v>0.79646017699115</v>
      </c>
      <c r="C96" t="s">
        <v>12</v>
      </c>
    </row>
    <row r="97" customFormat="1" spans="1:5">
      <c r="A97" t="s">
        <v>214</v>
      </c>
      <c r="B97" s="11">
        <f>B95+B96/2</f>
        <v>2.89823008849558</v>
      </c>
      <c r="C97" t="s">
        <v>12</v>
      </c>
    </row>
    <row r="98" customFormat="1" spans="1:5">
      <c r="B98" s="88"/>
    </row>
    <row r="99" customFormat="1" spans="1:5">
      <c r="A99" s="132" t="s">
        <v>187</v>
      </c>
      <c r="B99" s="134"/>
    </row>
    <row r="100" customFormat="1" spans="1:5">
      <c r="A100" t="s">
        <v>215</v>
      </c>
      <c r="B100" s="88">
        <f>ILA_avg_VIN_max+B95+B96</f>
        <v>5.28058716111813</v>
      </c>
      <c r="C100" t="s">
        <v>12</v>
      </c>
    </row>
    <row r="101" customFormat="1" spans="1:5">
      <c r="B101" s="134"/>
    </row>
    <row r="102" spans="1:5">
      <c r="A102" s="122" t="s">
        <v>216</v>
      </c>
    </row>
    <row r="103" spans="1:5">
      <c r="A103" t="s">
        <v>217</v>
      </c>
      <c r="B103" s="15">
        <f>'Design Converter'!H26/100</f>
        <v>0.3</v>
      </c>
      <c r="E103" t="s">
        <v>218</v>
      </c>
    </row>
    <row r="104" spans="1:5">
      <c r="A104" t="s">
        <v>219</v>
      </c>
      <c r="B104" s="90">
        <f>(1+Ipk_margin)*ISW_peak_VIN_min</f>
        <v>14.5119047619048</v>
      </c>
      <c r="C104" t="s">
        <v>12</v>
      </c>
      <c r="E104" t="s">
        <v>220</v>
      </c>
    </row>
    <row r="105" customFormat="1" spans="1:5">
      <c r="B105" s="135"/>
    </row>
    <row r="106" customFormat="1" spans="1:5">
      <c r="A106" t="s">
        <v>221</v>
      </c>
      <c r="B106" s="10">
        <v>0.6</v>
      </c>
      <c r="E106" t="s">
        <v>222</v>
      </c>
    </row>
    <row r="107" spans="1:5">
      <c r="A107" t="s">
        <v>223</v>
      </c>
      <c r="B107" s="124">
        <f>(1/B106)*((Fsw*Isl*Rsl_int*Lm)/(VOUT))</f>
        <v>0.100333333333333</v>
      </c>
      <c r="C107" s="16" t="s">
        <v>35</v>
      </c>
      <c r="E107" t="s">
        <v>224</v>
      </c>
    </row>
    <row r="108" spans="1:5">
      <c r="A108" t="s">
        <v>225</v>
      </c>
      <c r="B108" s="124">
        <f>Vcl/Ipk_selected</f>
        <v>0.0107497949138638</v>
      </c>
      <c r="C108" s="16" t="s">
        <v>35</v>
      </c>
      <c r="E108" t="s">
        <v>226</v>
      </c>
    </row>
    <row r="109" customFormat="1" spans="1:5">
      <c r="B109" s="13"/>
    </row>
    <row r="110" customFormat="1" spans="1:5">
      <c r="A110" t="s">
        <v>227</v>
      </c>
      <c r="B110" s="10">
        <v>0.833</v>
      </c>
      <c r="E110" t="s">
        <v>228</v>
      </c>
    </row>
    <row r="111" spans="1:5">
      <c r="A111" t="s">
        <v>229</v>
      </c>
      <c r="B111" s="136">
        <f>(Lm*Fsw*(Vcl+(Dc_VIN_min*Isl*Rsl_int)))/((Dc_VIN_min*Kslope*VOUT)+(Ipk_selected*Lm*Fsw))</f>
        <v>0.0144000569847922</v>
      </c>
      <c r="C111" s="16" t="s">
        <v>35</v>
      </c>
      <c r="E111" t="s">
        <v>230</v>
      </c>
    </row>
    <row r="112" spans="1:5">
      <c r="A112" t="s">
        <v>231</v>
      </c>
      <c r="B112" s="88">
        <f>(Vcl-(Ipk_selected*Rcs_w_sl))/(Isl*Dc_VIN_min)</f>
        <v>-1601.48679507203</v>
      </c>
      <c r="C112" s="16" t="s">
        <v>35</v>
      </c>
      <c r="E112" t="s">
        <v>232</v>
      </c>
    </row>
    <row r="114" spans="1:11">
      <c r="A114" t="s">
        <v>233</v>
      </c>
      <c r="B114" s="12">
        <f>IF(Rcs_wo_sl&gt;Rcs_max,1,0)</f>
        <v>0</v>
      </c>
      <c r="E114" t="s">
        <v>234</v>
      </c>
    </row>
    <row r="115" spans="1:11">
      <c r="A115" t="s">
        <v>235</v>
      </c>
      <c r="B115" s="137">
        <f>IF(B52=0,Rcs_wo_sl,IF(B114=0,Rcs_wo_sl,Rcs_w_sl))</f>
        <v>0.0107497949138638</v>
      </c>
      <c r="C115" s="16" t="s">
        <v>35</v>
      </c>
      <c r="E115" t="s">
        <v>236</v>
      </c>
    </row>
    <row r="116" spans="1:11">
      <c r="A116" t="s">
        <v>237</v>
      </c>
      <c r="B116" s="12">
        <f>IF(B52=0,0,IF(B114=0,0,B112))</f>
        <v>0</v>
      </c>
      <c r="C116" s="16" t="s">
        <v>35</v>
      </c>
      <c r="E116" t="s">
        <v>238</v>
      </c>
    </row>
    <row r="118" spans="1:11">
      <c r="A118" t="s">
        <v>239</v>
      </c>
      <c r="B118" s="138">
        <f>'Design Converter'!H30/1000</f>
        <v>0.01</v>
      </c>
      <c r="C118" s="16" t="s">
        <v>35</v>
      </c>
      <c r="E118" t="s">
        <v>240</v>
      </c>
    </row>
    <row r="119" spans="1:11">
      <c r="A119" t="s">
        <v>241</v>
      </c>
      <c r="B119" s="15">
        <f>'Design Converter'!H31</f>
        <v>0</v>
      </c>
      <c r="C119" s="16" t="s">
        <v>35</v>
      </c>
      <c r="E119" t="s">
        <v>242</v>
      </c>
    </row>
    <row r="121" spans="1:11">
      <c r="A121" t="s">
        <v>243</v>
      </c>
      <c r="B121" s="12">
        <f>(Isl*(Rsl_int+R_sl)*Fsw)/(((VOUT-VIN_min)/Lm)*R_cs)</f>
        <v>8.6</v>
      </c>
      <c r="C121" t="s">
        <v>244</v>
      </c>
      <c r="E121" t="s">
        <v>245</v>
      </c>
      <c r="K121">
        <f>IF(B69=0,0,IF(B121&lt;0.5,1,0))</f>
        <v>0</v>
      </c>
    </row>
    <row r="122" customFormat="1" spans="1:11">
      <c r="A122" t="s">
        <v>246</v>
      </c>
      <c r="B122" s="90">
        <f>(Vcl-(Isl*R_sl*Dc_VIN_min))/R_cs</f>
        <v>15.6</v>
      </c>
      <c r="C122" t="s">
        <v>12</v>
      </c>
      <c r="E122" t="s">
        <v>247</v>
      </c>
      <c r="K122">
        <f>IF(IL_pk&lt;Ipk_selected,1,0)</f>
        <v>0</v>
      </c>
    </row>
    <row r="123" spans="1:11">
      <c r="A123" t="s">
        <v>248</v>
      </c>
      <c r="B123" s="90">
        <f>(Vcl-(Isl*R_sl*Dc_VIN_max))/R_cs</f>
        <v>15.6</v>
      </c>
      <c r="C123" t="s">
        <v>12</v>
      </c>
      <c r="E123" t="s">
        <v>249</v>
      </c>
    </row>
    <row r="124" spans="1:11">
      <c r="A124" t="s">
        <v>250</v>
      </c>
      <c r="B124" s="12">
        <f>0.15</f>
        <v>0.15</v>
      </c>
      <c r="E124" t="s">
        <v>251</v>
      </c>
    </row>
    <row r="125" spans="1:11">
      <c r="A125" t="s">
        <v>252</v>
      </c>
      <c r="B125" s="88">
        <f>(1+B124)*B123</f>
        <v>17.94</v>
      </c>
      <c r="C125" t="s">
        <v>12</v>
      </c>
      <c r="E125" t="s">
        <v>253</v>
      </c>
    </row>
    <row r="127" spans="1:11">
      <c r="A127" s="130" t="s">
        <v>254</v>
      </c>
    </row>
    <row r="129" customFormat="1" spans="1:5">
      <c r="A129" s="139" t="s">
        <v>255</v>
      </c>
    </row>
    <row r="130" customFormat="1" spans="1:5">
      <c r="A130" t="s">
        <v>256</v>
      </c>
      <c r="B130" s="10">
        <v>0.05</v>
      </c>
    </row>
    <row r="131" customFormat="1" spans="1:5">
      <c r="A131" t="s">
        <v>257</v>
      </c>
      <c r="B131" s="12">
        <f>IOUT*Dc_VIN_min/(VIN_max*VCrr*Fsw)</f>
        <v>4.36071864643293e-6</v>
      </c>
      <c r="C131" t="s">
        <v>258</v>
      </c>
      <c r="E131" t="s">
        <v>259</v>
      </c>
    </row>
    <row r="132" customFormat="1" spans="1:5">
      <c r="A132" t="s">
        <v>260</v>
      </c>
      <c r="B132" s="85">
        <f>'Design Converter'!H36*(10^-6)</f>
        <v>1e-5</v>
      </c>
      <c r="C132" t="s">
        <v>258</v>
      </c>
      <c r="E132" t="s">
        <v>261</v>
      </c>
    </row>
    <row r="133" customFormat="1" spans="1:5">
      <c r="A133" t="s">
        <v>262</v>
      </c>
      <c r="B133" s="90">
        <f>(IOUT*Dc_VIN_min)/(Cac*Fsw)</f>
        <v>0.274725274725275</v>
      </c>
      <c r="C133" t="s">
        <v>7</v>
      </c>
      <c r="E133" t="s">
        <v>263</v>
      </c>
    </row>
    <row r="134" customFormat="1" spans="1:5">
      <c r="A134" t="s">
        <v>264</v>
      </c>
      <c r="B134" s="90">
        <f>IOUT*SQRT(VOUT/VIN_min)</f>
        <v>4.56435464587638</v>
      </c>
      <c r="C134" t="s">
        <v>12</v>
      </c>
      <c r="E134" t="s">
        <v>265</v>
      </c>
    </row>
    <row r="135" customFormat="1"/>
    <row r="137" spans="1:5">
      <c r="A137" s="139" t="s">
        <v>44</v>
      </c>
      <c r="E137" t="s">
        <v>266</v>
      </c>
    </row>
    <row r="139" customFormat="1" spans="1:5">
      <c r="A139" t="s">
        <v>267</v>
      </c>
      <c r="B139" s="12">
        <f>IF(B52=0,Fsw/20,(((VOUT/IOUT)*((1-Dc_VIN_min)^2))/(Lm*Dc_VIN_min))/6)</f>
        <v>4615.38461538461</v>
      </c>
      <c r="C139" t="s">
        <v>268</v>
      </c>
      <c r="E139" t="s">
        <v>269</v>
      </c>
    </row>
    <row r="140" spans="1:5">
      <c r="A140" t="s">
        <v>270</v>
      </c>
      <c r="B140" s="85">
        <f>'Design Converter'!H40/1000</f>
        <v>0.5</v>
      </c>
      <c r="C140" t="s">
        <v>7</v>
      </c>
      <c r="E140" t="s">
        <v>271</v>
      </c>
    </row>
    <row r="141" customFormat="1" spans="1:5">
      <c r="A141" t="s">
        <v>272</v>
      </c>
      <c r="B141" s="12">
        <f>IOUT-0.5*IOUT</f>
        <v>1.25</v>
      </c>
      <c r="C141" t="s">
        <v>12</v>
      </c>
    </row>
    <row r="142" spans="1:5">
      <c r="A142" t="s">
        <v>273</v>
      </c>
      <c r="B142" s="12">
        <f>B141/(Vout_rip_sel*B139)</f>
        <v>0.000541666666666667</v>
      </c>
      <c r="C142" t="s">
        <v>258</v>
      </c>
      <c r="E142" t="s">
        <v>274</v>
      </c>
    </row>
    <row r="143" spans="1:5">
      <c r="A143" t="s">
        <v>275</v>
      </c>
      <c r="B143" s="88">
        <f>IOUT*SQRT(VOUT/VIN_min)</f>
        <v>4.56435464587638</v>
      </c>
      <c r="C143" t="s">
        <v>12</v>
      </c>
      <c r="E143" t="s">
        <v>276</v>
      </c>
    </row>
    <row r="144" spans="1:5">
      <c r="A144" t="s">
        <v>277</v>
      </c>
      <c r="B144" s="15">
        <f>'Design Converter'!H43*(10^-6)</f>
        <v>0.00056</v>
      </c>
      <c r="C144" t="s">
        <v>258</v>
      </c>
      <c r="E144" t="s">
        <v>278</v>
      </c>
    </row>
    <row r="145" spans="1:6">
      <c r="A145" t="s">
        <v>279</v>
      </c>
      <c r="B145" s="15">
        <f>'Design Converter'!H44/1000</f>
        <v>0.028</v>
      </c>
      <c r="C145" s="16" t="s">
        <v>35</v>
      </c>
      <c r="E145" t="s">
        <v>280</v>
      </c>
    </row>
    <row r="146" customFormat="1"/>
    <row r="147" customFormat="1" spans="1:6">
      <c r="A147" s="139" t="s">
        <v>281</v>
      </c>
    </row>
    <row r="148" customFormat="1" spans="1:6">
      <c r="A148" t="s">
        <v>282</v>
      </c>
      <c r="B148" s="10">
        <f>Iss</f>
        <v>4</v>
      </c>
      <c r="C148" t="s">
        <v>283</v>
      </c>
      <c r="E148" t="s">
        <v>284</v>
      </c>
    </row>
    <row r="149" customFormat="1" spans="1:6">
      <c r="A149" s="140"/>
      <c r="B149" s="140"/>
      <c r="C149" s="140"/>
      <c r="D149" s="140"/>
      <c r="E149" s="140"/>
      <c r="F149" s="140"/>
    </row>
    <row r="150" customFormat="1" spans="1:6">
      <c r="A150" s="140"/>
      <c r="B150" s="140"/>
      <c r="C150" s="140"/>
      <c r="D150" s="140"/>
      <c r="E150" s="140"/>
      <c r="F150" s="140"/>
    </row>
    <row r="151" customFormat="1" spans="1:6">
      <c r="A151" s="140"/>
      <c r="B151" s="140"/>
      <c r="C151" s="140"/>
      <c r="D151" s="140"/>
      <c r="E151" s="140"/>
      <c r="F151" s="140"/>
    </row>
    <row r="152" customFormat="1"/>
    <row r="153" customFormat="1" spans="1:6">
      <c r="A153" s="139" t="s">
        <v>285</v>
      </c>
    </row>
    <row r="154" customFormat="1" spans="1:6">
      <c r="A154" s="13" t="s">
        <v>286</v>
      </c>
      <c r="B154" s="13"/>
      <c r="C154" s="13"/>
      <c r="D154" s="13"/>
      <c r="E154" s="13"/>
    </row>
    <row r="155" customFormat="1" spans="1:6">
      <c r="A155" s="13"/>
      <c r="B155" s="13"/>
      <c r="C155" s="13"/>
      <c r="D155" s="13"/>
      <c r="E155" s="13"/>
    </row>
    <row r="156" customFormat="1" spans="1:6">
      <c r="A156" s="13"/>
      <c r="B156" s="13"/>
      <c r="C156" s="13"/>
      <c r="D156" s="13"/>
      <c r="E156" s="13"/>
    </row>
    <row r="157" customFormat="1" spans="1:6">
      <c r="A157" s="13"/>
      <c r="B157" s="13"/>
      <c r="C157" s="13"/>
      <c r="D157" s="13"/>
      <c r="E157" s="13"/>
    </row>
    <row r="158" customFormat="1" spans="1:6">
      <c r="A158" s="13"/>
      <c r="B158" s="13"/>
      <c r="C158" s="13"/>
      <c r="D158" s="13"/>
      <c r="E158" s="13"/>
    </row>
    <row r="159" customFormat="1" spans="1:6">
      <c r="A159" s="13"/>
      <c r="B159" s="141"/>
      <c r="C159" s="142"/>
      <c r="D159" s="13"/>
      <c r="E159" s="13"/>
    </row>
    <row r="160" customFormat="1" spans="1:6">
      <c r="A160" s="13"/>
      <c r="B160" s="13"/>
      <c r="C160" s="142"/>
      <c r="D160" s="13"/>
      <c r="E160" s="13"/>
    </row>
    <row r="161" customFormat="1" spans="1:5">
      <c r="A161" s="13"/>
      <c r="B161" s="141"/>
      <c r="C161" s="142"/>
      <c r="D161" s="13"/>
      <c r="E161" s="13"/>
    </row>
    <row r="162" customFormat="1" spans="1:5">
      <c r="A162" s="13"/>
      <c r="B162" s="135"/>
      <c r="C162" s="13"/>
      <c r="D162" s="13"/>
      <c r="E162" s="13"/>
    </row>
    <row r="163" customFormat="1" spans="1:5">
      <c r="A163" s="13"/>
      <c r="B163" s="135"/>
      <c r="C163" s="13"/>
      <c r="D163" s="13"/>
      <c r="E163" s="13"/>
    </row>
    <row r="164" customFormat="1"/>
    <row r="165" customFormat="1"/>
    <row r="166" spans="1:5">
      <c r="A166" s="139" t="s">
        <v>287</v>
      </c>
    </row>
    <row r="167" customFormat="1" spans="1:5">
      <c r="A167" s="143" t="s">
        <v>288</v>
      </c>
      <c r="B167" s="15" t="str">
        <f>'Design Converter'!H59</f>
        <v>4V</v>
      </c>
      <c r="C167" t="s">
        <v>7</v>
      </c>
      <c r="E167" t="s">
        <v>289</v>
      </c>
    </row>
    <row r="168" customFormat="1" spans="1:5">
      <c r="A168" s="143"/>
      <c r="B168" s="13"/>
    </row>
    <row r="169" spans="1:5">
      <c r="A169" s="17" t="s">
        <v>290</v>
      </c>
    </row>
    <row r="170" customFormat="1" spans="1:5">
      <c r="A170" t="s">
        <v>291</v>
      </c>
      <c r="B170" s="15">
        <f>'Design Converter'!H62*(10^3)</f>
        <v>15000</v>
      </c>
      <c r="C170" s="16" t="s">
        <v>35</v>
      </c>
      <c r="E170" t="s">
        <v>292</v>
      </c>
    </row>
    <row r="171" customFormat="1" spans="1:5">
      <c r="A171" t="s">
        <v>293</v>
      </c>
      <c r="B171" s="89">
        <f>(RFBT*Vref)/(VOUT-Vref)</f>
        <v>2162.47139588101</v>
      </c>
      <c r="C171" s="16" t="s">
        <v>35</v>
      </c>
      <c r="E171" t="s">
        <v>294</v>
      </c>
    </row>
    <row r="172" spans="1:5">
      <c r="A172" t="s">
        <v>295</v>
      </c>
      <c r="B172" s="15">
        <f>'Design Converter'!H64*(10^3)</f>
        <v>2160</v>
      </c>
      <c r="C172" s="16" t="s">
        <v>35</v>
      </c>
      <c r="E172" t="s">
        <v>296</v>
      </c>
    </row>
    <row r="173" spans="1:5">
      <c r="A173" t="s">
        <v>297</v>
      </c>
      <c r="B173" s="12">
        <f>VOUT/(RFBB+RFBT)</f>
        <v>0.000582750582750583</v>
      </c>
      <c r="C173" s="16" t="s">
        <v>12</v>
      </c>
      <c r="E173" t="s">
        <v>298</v>
      </c>
    </row>
    <row r="174" customFormat="1" spans="1:5">
      <c r="B174" s="13"/>
      <c r="C174" s="16"/>
    </row>
    <row r="175" customFormat="1" spans="1:5">
      <c r="A175" s="17" t="s">
        <v>299</v>
      </c>
      <c r="E175" t="s">
        <v>300</v>
      </c>
    </row>
    <row r="176" customFormat="1"/>
    <row r="177" customFormat="1" spans="1:5">
      <c r="A177" s="130" t="s">
        <v>301</v>
      </c>
    </row>
    <row r="178" customFormat="1" spans="1:5">
      <c r="A178" t="s">
        <v>302</v>
      </c>
      <c r="B178">
        <f>(Gcomp*(VOUT/IOUT)*(1-Dc_VIN_min))/(R_cs*Acs*(1+Dc_VIN_min))</f>
        <v>46.9565217391304</v>
      </c>
    </row>
    <row r="179" customFormat="1"/>
    <row r="180" customFormat="1" spans="1:5">
      <c r="A180" t="s">
        <v>303</v>
      </c>
      <c r="B180" s="10">
        <f>(1+Dc_VIN_min)/(Cout*(VOUT/IOUT))</f>
        <v>789.835164835165</v>
      </c>
      <c r="C180" t="s">
        <v>304</v>
      </c>
      <c r="E180" t="s">
        <v>305</v>
      </c>
    </row>
    <row r="181" customFormat="1" spans="1:5">
      <c r="A181" t="s">
        <v>306</v>
      </c>
      <c r="B181" s="12">
        <f>B180/(2*PI())</f>
        <v>125.706170711318</v>
      </c>
      <c r="C181" t="s">
        <v>111</v>
      </c>
      <c r="E181" t="s">
        <v>307</v>
      </c>
    </row>
    <row r="182" customFormat="1" spans="1:5">
      <c r="B182" s="13"/>
    </row>
    <row r="183" customFormat="1" spans="1:5">
      <c r="A183" t="s">
        <v>308</v>
      </c>
      <c r="B183" s="10">
        <f>1/(Cout*Resr)</f>
        <v>63775.5102040816</v>
      </c>
      <c r="C183" t="s">
        <v>309</v>
      </c>
      <c r="E183" t="s">
        <v>310</v>
      </c>
    </row>
    <row r="184" customFormat="1" spans="1:5">
      <c r="A184" t="s">
        <v>311</v>
      </c>
      <c r="B184" s="12">
        <f>B183/(2*PI())</f>
        <v>10150.1876971872</v>
      </c>
      <c r="C184" t="s">
        <v>111</v>
      </c>
      <c r="E184" t="s">
        <v>312</v>
      </c>
    </row>
    <row r="185" customFormat="1" spans="1:5">
      <c r="B185" s="13"/>
    </row>
    <row r="186" customFormat="1" spans="1:5">
      <c r="A186" t="s">
        <v>313</v>
      </c>
      <c r="B186" s="10">
        <f>((VOUT/IOUT)*((1-Dc_VIN_min)^2))/(Lm*Dc_VIN_min)</f>
        <v>27692.3076923077</v>
      </c>
      <c r="E186" t="s">
        <v>314</v>
      </c>
    </row>
    <row r="187" customFormat="1" spans="1:5">
      <c r="A187" t="s">
        <v>315</v>
      </c>
      <c r="B187" s="89">
        <f>B186/(2*PI())</f>
        <v>4407.36765485248</v>
      </c>
      <c r="C187" t="s">
        <v>111</v>
      </c>
      <c r="E187" t="s">
        <v>316</v>
      </c>
    </row>
    <row r="188" customFormat="1" spans="1:5">
      <c r="B188" s="13">
        <f>Fsw/10</f>
        <v>70000</v>
      </c>
      <c r="C188" t="s">
        <v>111</v>
      </c>
      <c r="E188" t="s">
        <v>317</v>
      </c>
    </row>
    <row r="189" customFormat="1" spans="1:5">
      <c r="B189">
        <f>IF((B187/5)&lt;(B188),0,1)</f>
        <v>0</v>
      </c>
      <c r="E189" t="s">
        <v>318</v>
      </c>
    </row>
    <row r="190" customFormat="1"/>
    <row r="191" customFormat="1" spans="1:5">
      <c r="A191" t="s">
        <v>319</v>
      </c>
      <c r="B191" s="12">
        <f>(Isl*(Rsl_int+R_sl)*Fsw)</f>
        <v>60200</v>
      </c>
      <c r="C191" t="s">
        <v>244</v>
      </c>
      <c r="E191" t="s">
        <v>320</v>
      </c>
    </row>
    <row r="192" customFormat="1" spans="1:5">
      <c r="A192" t="s">
        <v>321</v>
      </c>
      <c r="B192" s="12">
        <f>(R_cs*VIN_min*Acs)/Lm</f>
        <v>3000</v>
      </c>
      <c r="C192" t="s">
        <v>244</v>
      </c>
      <c r="E192" t="s">
        <v>322</v>
      </c>
    </row>
    <row r="193" customFormat="1" spans="1:5">
      <c r="B193" s="12"/>
    </row>
    <row r="194" customFormat="1" spans="1:5">
      <c r="A194" t="s">
        <v>323</v>
      </c>
      <c r="B194" s="12">
        <f>2*PI()*Fsw</f>
        <v>4398229.71502571</v>
      </c>
      <c r="C194" t="s">
        <v>324</v>
      </c>
    </row>
    <row r="195" customFormat="1" spans="1:5">
      <c r="A195" t="s">
        <v>325</v>
      </c>
      <c r="B195" s="12">
        <f>1/(PI()*(((1-Dc_VIN_min)*(1+(B191/B192)))-0.5))</f>
        <v>0.0729811026523683</v>
      </c>
    </row>
    <row r="196" customFormat="1" spans="1:5">
      <c r="E196">
        <f>fcross</f>
        <v>700</v>
      </c>
    </row>
    <row r="197" customFormat="1" spans="1:5">
      <c r="B197" s="13"/>
    </row>
    <row r="198" customFormat="1" spans="1:5">
      <c r="A198" t="s">
        <v>326</v>
      </c>
      <c r="B198" s="90">
        <f>IF(B189=0,fz_rhp/6,Fsw/10)</f>
        <v>734.561275808747</v>
      </c>
      <c r="C198" t="s">
        <v>111</v>
      </c>
      <c r="E198" t="s">
        <v>327</v>
      </c>
    </row>
    <row r="199" customFormat="1"/>
    <row r="200" customFormat="1"/>
    <row r="201" customFormat="1" spans="1:5">
      <c r="A201" t="s">
        <v>328</v>
      </c>
      <c r="B201" s="144">
        <f>SQRT(B181*fcross)</f>
        <v>296.638364845013</v>
      </c>
      <c r="C201" t="s">
        <v>111</v>
      </c>
      <c r="E201" t="s">
        <v>329</v>
      </c>
    </row>
    <row r="202" customFormat="1" spans="1:5">
      <c r="A202" t="s">
        <v>330</v>
      </c>
      <c r="B202" s="145">
        <f>fz_rhp</f>
        <v>4407.36765485248</v>
      </c>
      <c r="C202" t="s">
        <v>111</v>
      </c>
      <c r="E202" t="s">
        <v>331</v>
      </c>
    </row>
    <row r="203" customFormat="1" spans="1:5">
      <c r="A203" t="s">
        <v>332</v>
      </c>
      <c r="B203" s="15">
        <f>fcross</f>
        <v>700</v>
      </c>
      <c r="C203" t="s">
        <v>111</v>
      </c>
      <c r="E203" t="s">
        <v>333</v>
      </c>
    </row>
    <row r="204" customFormat="1"/>
    <row r="205" customFormat="1"/>
    <row r="206" customFormat="1" spans="1:5">
      <c r="A206" t="s">
        <v>334</v>
      </c>
      <c r="B206" s="90">
        <f>(2*PI()*Acs*Cout*R_cs*VOUT*fcross)/(Gcomp*Vref*gm_ea*(1-Dc_VIN_min))</f>
        <v>1176.48119949247</v>
      </c>
      <c r="C206" s="16" t="s">
        <v>35</v>
      </c>
      <c r="E206" t="s">
        <v>335</v>
      </c>
    </row>
    <row r="207" customFormat="1" spans="1:5">
      <c r="A207" t="s">
        <v>336</v>
      </c>
      <c r="B207" s="11">
        <f>1/(2*PI()*fz_ea_est*Rcomp_calc_CCM)</f>
        <v>4.56045129318351e-7</v>
      </c>
      <c r="C207" s="16" t="s">
        <v>258</v>
      </c>
      <c r="E207" t="s">
        <v>337</v>
      </c>
    </row>
    <row r="208" customFormat="1" spans="1:5">
      <c r="A208" t="s">
        <v>338</v>
      </c>
      <c r="B208" s="146">
        <f>(IOUT*Lm)/(Rcomp_calc_CCM*((1-Dc_VIN_min)^2)*(VIN_min+VOUT))</f>
        <v>3.06941675962941e-8</v>
      </c>
      <c r="C208" t="s">
        <v>258</v>
      </c>
      <c r="E208" t="s">
        <v>339</v>
      </c>
    </row>
    <row r="211" spans="1:5">
      <c r="A211" s="130" t="s">
        <v>340</v>
      </c>
      <c r="E211" s="17" t="s">
        <v>341</v>
      </c>
    </row>
    <row r="212" customFormat="1"/>
    <row r="213" customFormat="1" spans="1:5">
      <c r="A213" t="s">
        <v>342</v>
      </c>
      <c r="B213">
        <f>Fsw/((R_cs*Acs*(VIN_min/Lm))+((R_sl+Rsl_int)*Isl))</f>
        <v>233.326644636187</v>
      </c>
      <c r="C213" t="s">
        <v>244</v>
      </c>
      <c r="E213" t="s">
        <v>343</v>
      </c>
    </row>
    <row r="214" customFormat="1" spans="1:5">
      <c r="A214" t="s">
        <v>344</v>
      </c>
      <c r="B214">
        <f>(B213*2*VOUT/Dc_VIN_min)*(((VOUT/VIN_min)-1)/((2*VOUT/VIN_min)-1))</f>
        <v>2497.96760728153</v>
      </c>
      <c r="C214" t="s">
        <v>244</v>
      </c>
    </row>
    <row r="215" customFormat="1" spans="1:5">
      <c r="A215" t="s">
        <v>345</v>
      </c>
      <c r="B215">
        <f>(IOUT*((2*VOUT)-VIN_min))/(Cout*VOUT*(VOUT-VIN_min))</f>
        <v>1084.18367346939</v>
      </c>
      <c r="C215" t="s">
        <v>304</v>
      </c>
    </row>
    <row r="216" customFormat="1" spans="1:5">
      <c r="B216">
        <f>B215/(2*PI())</f>
        <v>172.553190852182</v>
      </c>
      <c r="C216" t="s">
        <v>111</v>
      </c>
    </row>
    <row r="217" customFormat="1" spans="1:5">
      <c r="A217" t="s">
        <v>346</v>
      </c>
      <c r="B217">
        <f>1/(Cout*Resr)</f>
        <v>63775.5102040816</v>
      </c>
      <c r="C217" t="s">
        <v>304</v>
      </c>
    </row>
    <row r="218" customFormat="1" spans="1:5">
      <c r="B218">
        <f>B217/(2*PI())</f>
        <v>10150.1876971872</v>
      </c>
      <c r="C218" t="s">
        <v>111</v>
      </c>
    </row>
    <row r="219" customFormat="1" spans="1:5">
      <c r="A219" t="s">
        <v>347</v>
      </c>
      <c r="B219">
        <f>2*Fsw/(Dc_VIN_min)</f>
        <v>1820000</v>
      </c>
      <c r="C219" t="s">
        <v>304</v>
      </c>
      <c r="E219" t="s">
        <v>348</v>
      </c>
    </row>
    <row r="220" customFormat="1" spans="1:5">
      <c r="B220">
        <f>B219/(2*PI())</f>
        <v>289661.99642725</v>
      </c>
      <c r="C220" t="s">
        <v>111</v>
      </c>
    </row>
    <row r="221" customFormat="1"/>
    <row r="222" customFormat="1" spans="1:5">
      <c r="A222" t="s">
        <v>349</v>
      </c>
      <c r="B222">
        <f>2*Fsw/(2*PI()*Dc_VIN_min*5)</f>
        <v>57932.3992854499</v>
      </c>
      <c r="C222" t="s">
        <v>111</v>
      </c>
      <c r="E222" t="s">
        <v>350</v>
      </c>
    </row>
    <row r="223" customFormat="1" spans="1:5">
      <c r="B223">
        <f>20*LOG(Gcomp*B214*(B215/(2*PI())))</f>
        <v>111.775046128315</v>
      </c>
      <c r="E223" t="s">
        <v>351</v>
      </c>
    </row>
    <row r="224" customFormat="1" spans="1:5">
      <c r="A224" t="s">
        <v>332</v>
      </c>
      <c r="B224" s="15">
        <f>fcross</f>
        <v>700</v>
      </c>
      <c r="C224" t="s">
        <v>111</v>
      </c>
      <c r="E224" t="s">
        <v>352</v>
      </c>
    </row>
    <row r="225" customFormat="1" spans="1:5">
      <c r="B225" s="13"/>
    </row>
    <row r="226" customFormat="1" spans="1:5">
      <c r="B226" s="13"/>
    </row>
    <row r="227" customFormat="1" spans="1:5">
      <c r="A227" t="s">
        <v>353</v>
      </c>
      <c r="B227">
        <f>(2*PI()*VOUT*fcross)/(Gcomp*Vref*gm_ea*B215*B214)</f>
        <v>17.9013259976023</v>
      </c>
      <c r="C227" t="s">
        <v>354</v>
      </c>
      <c r="E227" t="s">
        <v>335</v>
      </c>
    </row>
    <row r="228" customFormat="1" spans="1:5">
      <c r="A228" t="s">
        <v>355</v>
      </c>
      <c r="B228">
        <f>1/(2*PI()*SQRT(fcross*(B215/(2*PI())))*B227)</f>
        <v>2.55814061417722e-5</v>
      </c>
      <c r="C228" t="s">
        <v>258</v>
      </c>
      <c r="E228" t="s">
        <v>337</v>
      </c>
    </row>
    <row r="229" customFormat="1" spans="1:5">
      <c r="A229" t="s">
        <v>356</v>
      </c>
      <c r="B229">
        <f>B228/((2*PI()*B228*B227*(B219/(2*PI())))-1)</f>
        <v>3.07301586272364e-8</v>
      </c>
      <c r="C229" t="s">
        <v>258</v>
      </c>
      <c r="E229" t="s">
        <v>339</v>
      </c>
    </row>
    <row r="230" customFormat="1" ht="16.5" customHeight="1"/>
    <row r="231" customFormat="1" ht="16.5" customHeight="1" spans="1:5">
      <c r="A231" s="125" t="s">
        <v>357</v>
      </c>
    </row>
    <row r="232" customFormat="1" spans="1:5">
      <c r="B232">
        <f>IF(B52=0,B222,B198)</f>
        <v>734.561275808747</v>
      </c>
      <c r="C232" t="s">
        <v>111</v>
      </c>
      <c r="E232" t="s">
        <v>358</v>
      </c>
    </row>
    <row r="233" customFormat="1" spans="1:5">
      <c r="A233" t="s">
        <v>332</v>
      </c>
      <c r="B233" s="15">
        <f>'Design Converter'!H68*1000</f>
        <v>700</v>
      </c>
      <c r="C233" t="s">
        <v>111</v>
      </c>
      <c r="E233" t="s">
        <v>359</v>
      </c>
    </row>
    <row r="234" customFormat="1"/>
    <row r="235" customFormat="1" spans="1:5">
      <c r="A235" t="s">
        <v>360</v>
      </c>
      <c r="B235">
        <f>IF(B52=0,RCOMP_CALC_DCM,Rcomp_calc_CCM)</f>
        <v>1176.48119949247</v>
      </c>
    </row>
    <row r="236" customFormat="1" spans="1:5">
      <c r="A236" t="s">
        <v>361</v>
      </c>
      <c r="B236" s="15">
        <f>'Design Converter'!H71*1000</f>
        <v>2500</v>
      </c>
      <c r="C236" s="16" t="s">
        <v>35</v>
      </c>
      <c r="E236" t="s">
        <v>362</v>
      </c>
    </row>
    <row r="237" customFormat="1" spans="1:5">
      <c r="A237" t="s">
        <v>363</v>
      </c>
      <c r="B237">
        <f>IF(B52=0,CCOMP_CALC_DCM,CCOMP_calc_CCM)</f>
        <v>4.56045129318351e-7</v>
      </c>
    </row>
    <row r="238" customFormat="1" spans="1:5">
      <c r="A238" t="s">
        <v>364</v>
      </c>
      <c r="B238" s="15">
        <f>'Design Converter'!H72*(10^-9)</f>
        <v>2.2e-7</v>
      </c>
      <c r="C238" t="s">
        <v>258</v>
      </c>
      <c r="E238" t="s">
        <v>365</v>
      </c>
    </row>
    <row r="239" customFormat="1" spans="1:5">
      <c r="A239" t="s">
        <v>366</v>
      </c>
      <c r="B239">
        <f>IF(B52=0,CHF_CALC_DCM,CHF_CALC_CCM)</f>
        <v>3.06941675962941e-8</v>
      </c>
    </row>
    <row r="240" customFormat="1" spans="1:5">
      <c r="A240" t="s">
        <v>367</v>
      </c>
      <c r="B240" s="15">
        <f>'Design Converter'!H73*(10^-12)</f>
        <v>4.7e-9</v>
      </c>
      <c r="C240" t="s">
        <v>258</v>
      </c>
      <c r="E240" t="s">
        <v>368</v>
      </c>
    </row>
    <row r="241" customFormat="1"/>
    <row r="242" spans="1:5">
      <c r="A242" s="139" t="s">
        <v>369</v>
      </c>
    </row>
    <row r="243" customFormat="1" spans="1:5">
      <c r="A243" s="139" t="s">
        <v>80</v>
      </c>
    </row>
    <row r="244" customFormat="1" spans="1:5">
      <c r="A244" s="147" t="s">
        <v>370</v>
      </c>
      <c r="E244" t="s">
        <v>371</v>
      </c>
    </row>
    <row r="245" spans="1:5">
      <c r="A245" t="s">
        <v>372</v>
      </c>
      <c r="B245">
        <f>'Design Converter'!H88/1000</f>
        <v>0.325</v>
      </c>
      <c r="C245" t="s">
        <v>7</v>
      </c>
      <c r="E245" t="s">
        <v>373</v>
      </c>
    </row>
    <row r="246" spans="1:5">
      <c r="A246" t="s">
        <v>374</v>
      </c>
      <c r="B246">
        <f>'Design Converter'!H89*(10^-9)</f>
        <v>0</v>
      </c>
      <c r="C246" t="s">
        <v>375</v>
      </c>
      <c r="E246" t="s">
        <v>376</v>
      </c>
    </row>
    <row r="248" customFormat="1"/>
    <row r="249" spans="1:5">
      <c r="A249" s="139" t="s">
        <v>377</v>
      </c>
    </row>
    <row r="250" ht="16.5" spans="1:5">
      <c r="A250" t="s">
        <v>378</v>
      </c>
      <c r="B250" s="15">
        <f>'Design Converter'!H78*(10^-3)</f>
        <v>0.0065</v>
      </c>
      <c r="C250" s="16" t="s">
        <v>35</v>
      </c>
      <c r="E250" s="148" t="s">
        <v>69</v>
      </c>
    </row>
    <row r="251" ht="16.5" spans="1:5">
      <c r="A251" t="s">
        <v>379</v>
      </c>
      <c r="B251" s="15">
        <f>'Design Converter'!H79*(10^-9)</f>
        <v>3e-8</v>
      </c>
      <c r="C251" t="s">
        <v>258</v>
      </c>
      <c r="E251" s="148" t="s">
        <v>71</v>
      </c>
    </row>
    <row r="252" ht="16.5" spans="1:5">
      <c r="A252" t="s">
        <v>380</v>
      </c>
      <c r="B252" s="15">
        <f>'Design Converter'!H80*(10^-9)</f>
        <v>6.5e-9</v>
      </c>
      <c r="C252" t="s">
        <v>258</v>
      </c>
      <c r="E252" s="148" t="s">
        <v>73</v>
      </c>
    </row>
    <row r="253" ht="16.5" spans="1:5">
      <c r="A253" t="s">
        <v>381</v>
      </c>
      <c r="B253" s="15">
        <f>'Design Converter'!H81*(10^-9)</f>
        <v>3.5e-9</v>
      </c>
      <c r="C253" t="s">
        <v>258</v>
      </c>
      <c r="E253" s="148" t="s">
        <v>74</v>
      </c>
    </row>
    <row r="254" ht="16.5" spans="1:5">
      <c r="A254" t="s">
        <v>382</v>
      </c>
      <c r="B254" s="15">
        <f>'Design Converter'!H82</f>
        <v>1.3</v>
      </c>
      <c r="C254" s="16" t="s">
        <v>35</v>
      </c>
      <c r="E254" s="148" t="s">
        <v>75</v>
      </c>
    </row>
    <row r="255" customFormat="1" spans="1:5">
      <c r="A255" t="s">
        <v>383</v>
      </c>
      <c r="B255" s="10">
        <v>1.5</v>
      </c>
      <c r="C255" s="16"/>
      <c r="E255" s="148" t="s">
        <v>384</v>
      </c>
    </row>
    <row r="256" ht="16.5" spans="1:5">
      <c r="A256" t="s">
        <v>385</v>
      </c>
      <c r="B256" s="15">
        <f>'Design Converter'!H83</f>
        <v>70</v>
      </c>
      <c r="C256" s="16" t="s">
        <v>78</v>
      </c>
      <c r="E256" s="148" t="s">
        <v>77</v>
      </c>
    </row>
    <row r="257" ht="16.5" spans="1:8">
      <c r="A257" t="s">
        <v>386</v>
      </c>
      <c r="B257" s="15">
        <f>'Design Converter'!H84</f>
        <v>10</v>
      </c>
      <c r="C257" s="16" t="s">
        <v>7</v>
      </c>
      <c r="E257" s="148" t="s">
        <v>79</v>
      </c>
    </row>
    <row r="258" customFormat="1" spans="1:8">
      <c r="A258" t="s">
        <v>387</v>
      </c>
      <c r="B258" s="10">
        <f>Vcc</f>
        <v>7.2</v>
      </c>
      <c r="C258" s="16" t="s">
        <v>7</v>
      </c>
      <c r="E258" s="148" t="s">
        <v>388</v>
      </c>
    </row>
    <row r="259" customFormat="1" spans="1:8">
      <c r="B259" s="13"/>
      <c r="C259" s="16"/>
      <c r="E259" s="148"/>
    </row>
    <row r="260" customFormat="1" spans="1:8">
      <c r="B260" s="13"/>
      <c r="C260" s="16"/>
      <c r="E260" s="148"/>
    </row>
    <row r="261" spans="1:8">
      <c r="A261" t="s">
        <v>389</v>
      </c>
      <c r="B261" s="137">
        <f>Vth+((IOUT+(VOUT*IOUT/VIN_min))/gfs)</f>
        <v>10.1547619047619</v>
      </c>
      <c r="C261" s="16" t="s">
        <v>7</v>
      </c>
      <c r="E261" s="148" t="s">
        <v>390</v>
      </c>
    </row>
    <row r="262" spans="1:8">
      <c r="A262" t="s">
        <v>391</v>
      </c>
      <c r="B262" s="12">
        <f>(Qgd+(Qgs/2))*((Rgate+B255)/(Vcc-B261))</f>
        <v>-7.81788879935536e-9</v>
      </c>
      <c r="C262" s="16" t="s">
        <v>173</v>
      </c>
      <c r="E262" s="148" t="s">
        <v>392</v>
      </c>
    </row>
    <row r="263" ht="15.75" spans="1:8">
      <c r="A263" t="s">
        <v>393</v>
      </c>
      <c r="B263" s="124">
        <f>(Qgd+(Qgs/2))*((B255+Rgate)/B261)</f>
        <v>2.27479484173505e-9</v>
      </c>
      <c r="C263" t="s">
        <v>173</v>
      </c>
      <c r="E263" s="149" t="s">
        <v>394</v>
      </c>
      <c r="H263" t="s">
        <v>395</v>
      </c>
    </row>
  </sheetData>
  <mergeCells count="2">
    <mergeCell ref="A1:J1"/>
    <mergeCell ref="E5:H5"/>
  </mergeCells>
  <pageMargins left="0.7" right="0.7" top="0.75" bottom="0.75" header="0.3" footer="0.3"/>
  <pageSetup paperSize="1" orientation="portrait"/>
  <headerFooter/>
  <ignoredErrors>
    <ignoredError sqref="B219 B217" 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157"/>
  <sheetViews>
    <sheetView zoomScale="85" zoomScaleNormal="85" topLeftCell="I1" workbookViewId="0">
      <pane ySplit="6" topLeftCell="A100" activePane="bottomLeft" state="frozen"/>
      <selection/>
      <selection pane="bottomLeft" activeCell="AU42" sqref="AU42"/>
    </sheetView>
  </sheetViews>
  <sheetFormatPr defaultColWidth="9" defaultRowHeight="15"/>
  <cols>
    <col min="10" max="10" width="10" customWidth="1"/>
    <col min="18" max="18" width="8.85714285714286"/>
    <col min="21" max="21" width="8.85714285714286"/>
    <col min="24" max="24" width="8.85714285714286"/>
    <col min="25" max="25" width="12" customWidth="1"/>
    <col min="28" max="28" width="8.85714285714286"/>
    <col min="30" max="30" width="8.85714285714286"/>
    <col min="35" max="35" width="8.85714285714286"/>
    <col min="39" max="39" width="11" customWidth="1"/>
    <col min="42" max="43" width="8.85714285714286"/>
  </cols>
  <sheetData>
    <row r="1" ht="27.75" spans="1:46">
      <c r="A1" s="1" t="s">
        <v>90</v>
      </c>
      <c r="B1" s="1"/>
      <c r="C1" s="1"/>
      <c r="D1" s="1"/>
      <c r="E1" s="1"/>
      <c r="F1" s="1"/>
      <c r="G1" s="1"/>
      <c r="H1" s="1"/>
      <c r="I1" s="1"/>
      <c r="J1" s="1"/>
      <c r="K1" s="1"/>
      <c r="L1" s="1"/>
      <c r="M1" s="1"/>
    </row>
    <row r="2" spans="1:46">
      <c r="Y2" s="40" t="s">
        <v>396</v>
      </c>
      <c r="Z2" s="40"/>
      <c r="AA2" s="40"/>
      <c r="AB2" s="40"/>
      <c r="AC2" s="40"/>
      <c r="AD2" s="40"/>
    </row>
    <row r="4" ht="15.75" spans="1:4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row>
    <row r="5" ht="30" spans="1:46">
      <c r="R5" s="97" t="s">
        <v>397</v>
      </c>
      <c r="S5" s="98"/>
      <c r="T5" s="98"/>
      <c r="U5" s="99"/>
      <c r="V5" s="97" t="s">
        <v>398</v>
      </c>
      <c r="W5" s="98"/>
      <c r="X5" s="99"/>
      <c r="Y5" s="97" t="s">
        <v>399</v>
      </c>
      <c r="Z5" s="98"/>
      <c r="AA5" s="98"/>
      <c r="AB5" s="98"/>
      <c r="AC5" s="98"/>
      <c r="AD5" s="99"/>
      <c r="AE5" s="97" t="s">
        <v>400</v>
      </c>
      <c r="AF5" s="98"/>
      <c r="AG5" s="98"/>
      <c r="AH5" s="98"/>
      <c r="AI5" s="99"/>
      <c r="AJ5" s="97" t="s">
        <v>401</v>
      </c>
      <c r="AK5" s="98"/>
      <c r="AL5" s="98"/>
      <c r="AM5" s="98"/>
      <c r="AN5" s="99"/>
      <c r="AO5" s="100" t="s">
        <v>402</v>
      </c>
      <c r="AP5" s="101"/>
      <c r="AQ5" s="102"/>
      <c r="AR5" s="100" t="s">
        <v>403</v>
      </c>
      <c r="AS5" s="103"/>
      <c r="AT5" s="104"/>
    </row>
    <row r="6" ht="18.75" spans="1:46">
      <c r="R6" s="105" t="s">
        <v>115</v>
      </c>
      <c r="S6" s="106" t="s">
        <v>117</v>
      </c>
      <c r="T6" s="106" t="s">
        <v>404</v>
      </c>
      <c r="U6" s="107" t="s">
        <v>405</v>
      </c>
      <c r="V6" s="105" t="s">
        <v>406</v>
      </c>
      <c r="W6" s="106" t="s">
        <v>407</v>
      </c>
      <c r="X6" s="107" t="s">
        <v>408</v>
      </c>
      <c r="Y6" s="108" t="s">
        <v>409</v>
      </c>
      <c r="Z6" s="109" t="s">
        <v>410</v>
      </c>
      <c r="AA6" s="109" t="s">
        <v>411</v>
      </c>
      <c r="AB6" s="110" t="s">
        <v>412</v>
      </c>
      <c r="AC6" s="110" t="s">
        <v>413</v>
      </c>
      <c r="AD6" s="111" t="s">
        <v>414</v>
      </c>
      <c r="AE6" s="108" t="s">
        <v>415</v>
      </c>
      <c r="AF6" s="109" t="s">
        <v>416</v>
      </c>
      <c r="AG6" s="110" t="s">
        <v>417</v>
      </c>
      <c r="AH6" s="110" t="s">
        <v>418</v>
      </c>
      <c r="AI6" s="111" t="s">
        <v>419</v>
      </c>
      <c r="AJ6" s="108" t="s">
        <v>420</v>
      </c>
      <c r="AK6" s="109" t="s">
        <v>421</v>
      </c>
      <c r="AL6" s="109" t="s">
        <v>422</v>
      </c>
      <c r="AM6" s="109" t="s">
        <v>423</v>
      </c>
      <c r="AN6" s="112" t="s">
        <v>424</v>
      </c>
      <c r="AO6" s="108" t="s">
        <v>425</v>
      </c>
      <c r="AP6" s="109" t="s">
        <v>426</v>
      </c>
      <c r="AQ6" s="112" t="s">
        <v>427</v>
      </c>
      <c r="AR6" s="108" t="s">
        <v>428</v>
      </c>
      <c r="AS6" s="109" t="s">
        <v>429</v>
      </c>
      <c r="AT6" s="112" t="s">
        <v>430</v>
      </c>
    </row>
    <row r="7" spans="1:46">
      <c r="Q7">
        <v>0</v>
      </c>
      <c r="R7" s="105">
        <f t="shared" ref="R7:R70" si="0">VOUT</f>
        <v>10</v>
      </c>
      <c r="S7" s="106">
        <f t="shared" ref="S7:S38" si="1">Q7*$O$12</f>
        <v>0</v>
      </c>
      <c r="T7" s="106">
        <f t="shared" ref="T7:T70" si="2">VIN_var</f>
        <v>4</v>
      </c>
      <c r="U7" s="107">
        <f t="shared" ref="U7:U38" si="3">(R7*S7)/(T7*EFF_est)</f>
        <v>0</v>
      </c>
      <c r="V7" s="105">
        <f t="shared" ref="V7:V38" si="4">IF(S7&lt;((T7^2)*R7)/(2*Fsw*Lm*((T7+R7)^2)),1,2)</f>
        <v>1</v>
      </c>
      <c r="W7" s="106">
        <f t="shared" ref="W7:W38" si="5">CHOOSE(V7,SQRT(2*Lm*R7*S7*Fsw)/T7,R7/(T7+R7))</f>
        <v>0</v>
      </c>
      <c r="X7" s="107">
        <f t="shared" ref="X7:X38" si="6">CHOOSE(V7,(Lm*Z7*Fsw)/(R7),1-W7)</f>
        <v>0</v>
      </c>
      <c r="Y7" s="105">
        <f t="shared" ref="Y7" si="7">(T7*W7)/(Lm*Fsw)</f>
        <v>0</v>
      </c>
      <c r="Z7" s="106">
        <f t="shared" ref="Z7:Z19" si="8">U7+S7+(Y7)</f>
        <v>0</v>
      </c>
      <c r="AA7" s="106">
        <f>CHOOSE(V7,Z7*SQRT((W7+X7)/3),SQRT((U7^2)+((Y7^2)/12)))</f>
        <v>0</v>
      </c>
      <c r="AB7" s="106">
        <v>0</v>
      </c>
      <c r="AC7" s="106">
        <f t="shared" ref="AC7" si="9">(AA7^2)*Rdcr</f>
        <v>0</v>
      </c>
      <c r="AD7" s="107">
        <f>AB7+AC7</f>
        <v>0</v>
      </c>
      <c r="AE7" s="105">
        <f>U7*S7*W7</f>
        <v>0</v>
      </c>
      <c r="AF7" s="106">
        <f>AA7</f>
        <v>0</v>
      </c>
      <c r="AG7" s="106">
        <f t="shared" ref="AG7:AG38" si="10">(AF7^2)*RDS_on</f>
        <v>0</v>
      </c>
      <c r="AH7" s="106">
        <f t="shared" ref="AH7:AH38" si="11">(((R7+T7)*(U7+S7))/2)*Fsw*(tr_sw+tf_sw)</f>
        <v>0</v>
      </c>
      <c r="AI7" s="107">
        <f>AG7+AH7</f>
        <v>0</v>
      </c>
      <c r="AJ7" s="105">
        <f>S7</f>
        <v>0</v>
      </c>
      <c r="AK7" s="106">
        <f t="shared" ref="AK7" si="12">CHOOSE(V7,Z7*SQRT(X7/3),SQRT(X7*((Z7^2)+((Y7^2)/3)-(Y7*Z7))))</f>
        <v>0</v>
      </c>
      <c r="AL7" s="106">
        <f t="shared" ref="AL7" si="13">S7*Vd_rect</f>
        <v>0</v>
      </c>
      <c r="AM7" s="106">
        <f t="shared" ref="AM7:AM38" si="14">(R7+T7+Vd_rect)*Qrr*Fsw</f>
        <v>0</v>
      </c>
      <c r="AN7" s="107">
        <f>AL7+AM7</f>
        <v>0</v>
      </c>
      <c r="AO7" s="105">
        <f t="shared" ref="AO7:AO38" si="15">(AF7^2)*R_cs</f>
        <v>0</v>
      </c>
      <c r="AP7" s="106">
        <f t="shared" ref="AP7:AP70" si="16">Qg_tot*Vcc*Fsw</f>
        <v>0.1512</v>
      </c>
      <c r="AQ7" s="107">
        <f t="shared" ref="AQ7" si="17">IQ*T7</f>
        <v>0.0132</v>
      </c>
      <c r="AR7" s="105">
        <f>AO7+AN7+AI7+AP7+AQ7</f>
        <v>0.1644</v>
      </c>
      <c r="AS7" s="106">
        <f>R7*S7</f>
        <v>0</v>
      </c>
      <c r="AT7" s="107">
        <f>(AS7/(AS7+AR7))*100</f>
        <v>0</v>
      </c>
    </row>
    <row r="8" spans="1:46">
      <c r="M8">
        <f>Fsw</f>
        <v>700000</v>
      </c>
      <c r="Q8">
        <v>1</v>
      </c>
      <c r="R8" s="105">
        <f t="shared" si="0"/>
        <v>10</v>
      </c>
      <c r="S8" s="106">
        <f t="shared" si="1"/>
        <v>0.0166666666666667</v>
      </c>
      <c r="T8" s="106">
        <f t="shared" si="2"/>
        <v>4</v>
      </c>
      <c r="U8" s="107">
        <f t="shared" si="3"/>
        <v>0.0416666666666667</v>
      </c>
      <c r="V8" s="105">
        <f t="shared" si="4"/>
        <v>1</v>
      </c>
      <c r="W8" s="106">
        <f t="shared" si="5"/>
        <v>0.381881307912987</v>
      </c>
      <c r="X8" s="107">
        <f t="shared" si="6"/>
        <v>0.193585856498528</v>
      </c>
      <c r="Y8" s="105">
        <f t="shared" ref="Y8:Y71" si="18">(T8*W8)/(Lm*Fsw)</f>
        <v>0.218217890235992</v>
      </c>
      <c r="Z8" s="106">
        <f t="shared" si="8"/>
        <v>0.276551223569326</v>
      </c>
      <c r="AA8" s="106">
        <f t="shared" ref="AA8:AA71" si="19">CHOOSE(V8,Z8*SQRT((W8+X8)/3),SQRT((U8^2)+((Y8^2)/12)))</f>
        <v>0.121122612914866</v>
      </c>
      <c r="AB8" s="106">
        <v>0</v>
      </c>
      <c r="AC8" s="106">
        <f t="shared" ref="AC8:AC71" si="20">(AA8^2)*Rdcr</f>
        <v>0.000146706873593245</v>
      </c>
      <c r="AD8" s="107">
        <f t="shared" ref="AD8:AD71" si="21">AB8+AC8</f>
        <v>0.000146706873593245</v>
      </c>
      <c r="AE8" s="105">
        <f t="shared" ref="AE8:AE71" si="22">U8*S8*W8</f>
        <v>0.000265195352717352</v>
      </c>
      <c r="AF8" s="106">
        <f t="shared" ref="AF8:AF71" si="23">AA8</f>
        <v>0.121122612914866</v>
      </c>
      <c r="AG8" s="106">
        <f t="shared" si="10"/>
        <v>9.53594678356096e-5</v>
      </c>
      <c r="AH8" s="106">
        <f t="shared" si="11"/>
        <v>-0.00158440102288647</v>
      </c>
      <c r="AI8" s="107">
        <f t="shared" ref="AI8:AI71" si="24">AG8+AH8</f>
        <v>-0.00148904155505086</v>
      </c>
      <c r="AJ8" s="105">
        <f t="shared" ref="AJ8:AJ71" si="25">S8</f>
        <v>0.0166666666666667</v>
      </c>
      <c r="AK8" s="106">
        <f t="shared" ref="AK8:AK71" si="26">CHOOSE(V8,Z8*SQRT(X8/3),SQRT(X8*((Z8^2)+((Y8^2)/3)-(Y8*Z8))))</f>
        <v>0.0702508800445558</v>
      </c>
      <c r="AL8" s="106">
        <f t="shared" ref="AL8:AL71" si="27">S8*Vd_rect</f>
        <v>0.00541666666666667</v>
      </c>
      <c r="AM8" s="106">
        <f t="shared" si="14"/>
        <v>0</v>
      </c>
      <c r="AN8" s="107">
        <f t="shared" ref="AN8:AN71" si="28">AL8+AM8</f>
        <v>0.00541666666666667</v>
      </c>
      <c r="AO8" s="105">
        <f t="shared" si="15"/>
        <v>0.000146706873593245</v>
      </c>
      <c r="AP8" s="106">
        <f t="shared" si="16"/>
        <v>0.1512</v>
      </c>
      <c r="AQ8" s="107">
        <f t="shared" ref="AQ8:AQ71" si="29">IQ*T8</f>
        <v>0.0132</v>
      </c>
      <c r="AR8" s="105">
        <f t="shared" ref="AR8:AR71" si="30">AO8+AN8+AI8+AP8+AQ8</f>
        <v>0.168474331985209</v>
      </c>
      <c r="AS8" s="106">
        <f t="shared" ref="AS8:AS71" si="31">R8*S8</f>
        <v>0.166666666666667</v>
      </c>
      <c r="AT8" s="107">
        <f t="shared" ref="AT8:AT71" si="32">(AS8/(AS8+AR8))*100</f>
        <v>49.730312715273</v>
      </c>
    </row>
    <row r="9" spans="1:46">
      <c r="N9" s="106" t="s">
        <v>431</v>
      </c>
      <c r="O9" s="106">
        <f>VIN_var</f>
        <v>4</v>
      </c>
      <c r="P9" t="s">
        <v>7</v>
      </c>
      <c r="Q9">
        <v>2</v>
      </c>
      <c r="R9" s="105">
        <f t="shared" si="0"/>
        <v>10</v>
      </c>
      <c r="S9" s="106">
        <f t="shared" si="1"/>
        <v>0.0333333333333333</v>
      </c>
      <c r="T9" s="106">
        <f t="shared" si="2"/>
        <v>4</v>
      </c>
      <c r="U9" s="107">
        <f t="shared" si="3"/>
        <v>0.0833333333333333</v>
      </c>
      <c r="V9" s="105">
        <f t="shared" si="4"/>
        <v>1</v>
      </c>
      <c r="W9" s="106">
        <f t="shared" si="5"/>
        <v>0.540061724867322</v>
      </c>
      <c r="X9" s="107">
        <f t="shared" si="6"/>
        <v>0.297691356613595</v>
      </c>
      <c r="Y9" s="105">
        <f t="shared" si="18"/>
        <v>0.308606699924184</v>
      </c>
      <c r="Z9" s="106">
        <f t="shared" si="8"/>
        <v>0.42527336659085</v>
      </c>
      <c r="AA9" s="106">
        <f t="shared" si="19"/>
        <v>0.224732340496768</v>
      </c>
      <c r="AB9" s="106">
        <v>0</v>
      </c>
      <c r="AC9" s="106">
        <f t="shared" si="20"/>
        <v>0.000505046248651554</v>
      </c>
      <c r="AD9" s="107">
        <f t="shared" si="21"/>
        <v>0.000505046248651554</v>
      </c>
      <c r="AE9" s="105">
        <f t="shared" si="22"/>
        <v>0.00150017145796478</v>
      </c>
      <c r="AF9" s="106">
        <f t="shared" si="23"/>
        <v>0.224732340496768</v>
      </c>
      <c r="AG9" s="106">
        <f t="shared" si="10"/>
        <v>0.00032828006162351</v>
      </c>
      <c r="AH9" s="106">
        <f t="shared" si="11"/>
        <v>-0.00316880204577294</v>
      </c>
      <c r="AI9" s="107">
        <f t="shared" si="24"/>
        <v>-0.00284052198414943</v>
      </c>
      <c r="AJ9" s="105">
        <f t="shared" si="25"/>
        <v>0.0333333333333333</v>
      </c>
      <c r="AK9" s="106">
        <f t="shared" si="26"/>
        <v>0.133964790865841</v>
      </c>
      <c r="AL9" s="106">
        <f t="shared" si="27"/>
        <v>0.0108333333333333</v>
      </c>
      <c r="AM9" s="106">
        <f t="shared" si="14"/>
        <v>0</v>
      </c>
      <c r="AN9" s="107">
        <f t="shared" si="28"/>
        <v>0.0108333333333333</v>
      </c>
      <c r="AO9" s="105">
        <f t="shared" si="15"/>
        <v>0.000505046248651554</v>
      </c>
      <c r="AP9" s="106">
        <f t="shared" si="16"/>
        <v>0.1512</v>
      </c>
      <c r="AQ9" s="107">
        <f t="shared" si="29"/>
        <v>0.0132</v>
      </c>
      <c r="AR9" s="105">
        <f t="shared" si="30"/>
        <v>0.172897857597835</v>
      </c>
      <c r="AS9" s="106">
        <f t="shared" si="31"/>
        <v>0.333333333333333</v>
      </c>
      <c r="AT9" s="107">
        <f t="shared" si="32"/>
        <v>65.8460678252945</v>
      </c>
    </row>
    <row r="10" spans="1:46">
      <c r="N10" s="106"/>
      <c r="O10" s="106"/>
      <c r="Q10">
        <v>3</v>
      </c>
      <c r="R10" s="105">
        <f t="shared" si="0"/>
        <v>10</v>
      </c>
      <c r="S10" s="106">
        <f t="shared" si="1"/>
        <v>0.05</v>
      </c>
      <c r="T10" s="106">
        <f t="shared" si="2"/>
        <v>4</v>
      </c>
      <c r="U10" s="107">
        <f t="shared" si="3"/>
        <v>0.125</v>
      </c>
      <c r="V10" s="105">
        <f t="shared" si="4"/>
        <v>1</v>
      </c>
      <c r="W10" s="106">
        <f t="shared" si="5"/>
        <v>0.661437827766148</v>
      </c>
      <c r="X10" s="107">
        <f t="shared" si="6"/>
        <v>0.387075131106459</v>
      </c>
      <c r="Y10" s="105">
        <f t="shared" si="18"/>
        <v>0.377964473009227</v>
      </c>
      <c r="Z10" s="106">
        <f t="shared" si="8"/>
        <v>0.552964473009227</v>
      </c>
      <c r="AA10" s="106">
        <f t="shared" si="19"/>
        <v>0.326906460474029</v>
      </c>
      <c r="AB10" s="106">
        <v>0</v>
      </c>
      <c r="AC10" s="106">
        <f t="shared" si="20"/>
        <v>0.00106867833899658</v>
      </c>
      <c r="AD10" s="107">
        <f t="shared" si="21"/>
        <v>0.00106867833899658</v>
      </c>
      <c r="AE10" s="105">
        <f t="shared" si="22"/>
        <v>0.00413398642353842</v>
      </c>
      <c r="AF10" s="106">
        <f t="shared" si="23"/>
        <v>0.326906460474029</v>
      </c>
      <c r="AG10" s="106">
        <f t="shared" si="10"/>
        <v>0.000694640920347776</v>
      </c>
      <c r="AH10" s="106">
        <f t="shared" si="11"/>
        <v>-0.00475320306865941</v>
      </c>
      <c r="AI10" s="107">
        <f t="shared" si="24"/>
        <v>-0.00405856214831163</v>
      </c>
      <c r="AJ10" s="105">
        <f t="shared" si="25"/>
        <v>0.05</v>
      </c>
      <c r="AK10" s="106">
        <f t="shared" si="26"/>
        <v>0.198625149440958</v>
      </c>
      <c r="AL10" s="106">
        <f t="shared" si="27"/>
        <v>0.01625</v>
      </c>
      <c r="AM10" s="106">
        <f t="shared" si="14"/>
        <v>0</v>
      </c>
      <c r="AN10" s="107">
        <f t="shared" si="28"/>
        <v>0.01625</v>
      </c>
      <c r="AO10" s="105">
        <f t="shared" si="15"/>
        <v>0.00106867833899658</v>
      </c>
      <c r="AP10" s="106">
        <f t="shared" si="16"/>
        <v>0.1512</v>
      </c>
      <c r="AQ10" s="107">
        <f t="shared" si="29"/>
        <v>0.0132</v>
      </c>
      <c r="AR10" s="105">
        <f t="shared" si="30"/>
        <v>0.177660116190685</v>
      </c>
      <c r="AS10" s="106">
        <f t="shared" si="31"/>
        <v>0.5</v>
      </c>
      <c r="AT10" s="107">
        <f t="shared" si="32"/>
        <v>73.7833005151075</v>
      </c>
    </row>
    <row r="11" spans="1:46">
      <c r="N11" s="106" t="s">
        <v>432</v>
      </c>
      <c r="O11" s="106">
        <v>150</v>
      </c>
      <c r="Q11">
        <v>4</v>
      </c>
      <c r="R11" s="105">
        <f t="shared" si="0"/>
        <v>10</v>
      </c>
      <c r="S11" s="106">
        <f t="shared" si="1"/>
        <v>0.0666666666666667</v>
      </c>
      <c r="T11" s="106">
        <f t="shared" si="2"/>
        <v>4</v>
      </c>
      <c r="U11" s="107">
        <f t="shared" si="3"/>
        <v>0.166666666666667</v>
      </c>
      <c r="V11" s="105">
        <f t="shared" si="4"/>
        <v>2</v>
      </c>
      <c r="W11" s="106">
        <f t="shared" si="5"/>
        <v>0.714285714285714</v>
      </c>
      <c r="X11" s="107">
        <f t="shared" si="6"/>
        <v>0.285714285714286</v>
      </c>
      <c r="Y11" s="105">
        <f t="shared" si="18"/>
        <v>0.408163265306122</v>
      </c>
      <c r="Z11" s="106">
        <f t="shared" si="8"/>
        <v>0.641496598639456</v>
      </c>
      <c r="AA11" s="106">
        <f t="shared" si="19"/>
        <v>0.204109975356156</v>
      </c>
      <c r="AB11" s="106">
        <v>0</v>
      </c>
      <c r="AC11" s="106">
        <f t="shared" si="20"/>
        <v>0.000416608820398908</v>
      </c>
      <c r="AD11" s="107">
        <f t="shared" si="21"/>
        <v>0.000416608820398908</v>
      </c>
      <c r="AE11" s="105">
        <f t="shared" si="22"/>
        <v>0.00793650793650794</v>
      </c>
      <c r="AF11" s="106">
        <f t="shared" si="23"/>
        <v>0.204109975356156</v>
      </c>
      <c r="AG11" s="106">
        <f t="shared" si="10"/>
        <v>0.00027079573325929</v>
      </c>
      <c r="AH11" s="106">
        <f t="shared" si="11"/>
        <v>-0.00633760409154588</v>
      </c>
      <c r="AI11" s="107">
        <f t="shared" si="24"/>
        <v>-0.00606680835828659</v>
      </c>
      <c r="AJ11" s="105">
        <f t="shared" si="25"/>
        <v>0.0666666666666667</v>
      </c>
      <c r="AK11" s="106">
        <f t="shared" si="26"/>
        <v>0.242142199503274</v>
      </c>
      <c r="AL11" s="106">
        <f t="shared" si="27"/>
        <v>0.0216666666666667</v>
      </c>
      <c r="AM11" s="106">
        <f t="shared" si="14"/>
        <v>0</v>
      </c>
      <c r="AN11" s="107">
        <f t="shared" si="28"/>
        <v>0.0216666666666667</v>
      </c>
      <c r="AO11" s="105">
        <f t="shared" si="15"/>
        <v>0.000416608820398908</v>
      </c>
      <c r="AP11" s="106">
        <f t="shared" si="16"/>
        <v>0.1512</v>
      </c>
      <c r="AQ11" s="107">
        <f t="shared" si="29"/>
        <v>0.0132</v>
      </c>
      <c r="AR11" s="105">
        <f t="shared" si="30"/>
        <v>0.180416467128779</v>
      </c>
      <c r="AS11" s="106">
        <f t="shared" si="31"/>
        <v>0.666666666666667</v>
      </c>
      <c r="AT11" s="107">
        <f t="shared" si="32"/>
        <v>78.7014450021683</v>
      </c>
    </row>
    <row r="12" spans="1:46">
      <c r="N12" s="106" t="s">
        <v>433</v>
      </c>
      <c r="O12" s="106">
        <f>IOUT/(O11)</f>
        <v>0.0166666666666667</v>
      </c>
      <c r="Q12">
        <v>5</v>
      </c>
      <c r="R12" s="105">
        <f t="shared" si="0"/>
        <v>10</v>
      </c>
      <c r="S12" s="106">
        <f t="shared" si="1"/>
        <v>0.0833333333333333</v>
      </c>
      <c r="T12" s="106">
        <f t="shared" si="2"/>
        <v>4</v>
      </c>
      <c r="U12" s="107">
        <f t="shared" si="3"/>
        <v>0.208333333333333</v>
      </c>
      <c r="V12" s="105">
        <f t="shared" si="4"/>
        <v>2</v>
      </c>
      <c r="W12" s="106">
        <f t="shared" si="5"/>
        <v>0.714285714285714</v>
      </c>
      <c r="X12" s="107">
        <f t="shared" si="6"/>
        <v>0.285714285714286</v>
      </c>
      <c r="Y12" s="105">
        <f t="shared" si="18"/>
        <v>0.408163265306122</v>
      </c>
      <c r="Z12" s="106">
        <f t="shared" si="8"/>
        <v>0.699829931972789</v>
      </c>
      <c r="AA12" s="106">
        <f t="shared" si="19"/>
        <v>0.239344692942816</v>
      </c>
      <c r="AB12" s="106">
        <v>0</v>
      </c>
      <c r="AC12" s="106">
        <f t="shared" si="20"/>
        <v>0.000572858820398908</v>
      </c>
      <c r="AD12" s="107">
        <f t="shared" si="21"/>
        <v>0.000572858820398908</v>
      </c>
      <c r="AE12" s="105">
        <f t="shared" si="22"/>
        <v>0.0124007936507936</v>
      </c>
      <c r="AF12" s="106">
        <f t="shared" si="23"/>
        <v>0.239344692942816</v>
      </c>
      <c r="AG12" s="106">
        <f t="shared" si="10"/>
        <v>0.00037235823325929</v>
      </c>
      <c r="AH12" s="106">
        <f t="shared" si="11"/>
        <v>-0.00792200511443235</v>
      </c>
      <c r="AI12" s="107">
        <f t="shared" si="24"/>
        <v>-0.00754964688117306</v>
      </c>
      <c r="AJ12" s="105">
        <f t="shared" si="25"/>
        <v>0.0833333333333333</v>
      </c>
      <c r="AK12" s="106">
        <f t="shared" si="26"/>
        <v>0.272370273467423</v>
      </c>
      <c r="AL12" s="106">
        <f t="shared" si="27"/>
        <v>0.0270833333333333</v>
      </c>
      <c r="AM12" s="106">
        <f t="shared" si="14"/>
        <v>0</v>
      </c>
      <c r="AN12" s="107">
        <f t="shared" si="28"/>
        <v>0.0270833333333333</v>
      </c>
      <c r="AO12" s="105">
        <f t="shared" si="15"/>
        <v>0.000572858820398908</v>
      </c>
      <c r="AP12" s="106">
        <f t="shared" si="16"/>
        <v>0.1512</v>
      </c>
      <c r="AQ12" s="107">
        <f t="shared" si="29"/>
        <v>0.0132</v>
      </c>
      <c r="AR12" s="105">
        <f t="shared" si="30"/>
        <v>0.184506545272559</v>
      </c>
      <c r="AS12" s="106">
        <f t="shared" si="31"/>
        <v>0.833333333333333</v>
      </c>
      <c r="AT12" s="107">
        <f t="shared" si="32"/>
        <v>81.8727337029403</v>
      </c>
    </row>
    <row r="13" spans="1:46">
      <c r="Q13">
        <v>6</v>
      </c>
      <c r="R13" s="105">
        <f t="shared" si="0"/>
        <v>10</v>
      </c>
      <c r="S13" s="106">
        <f t="shared" si="1"/>
        <v>0.1</v>
      </c>
      <c r="T13" s="106">
        <f t="shared" si="2"/>
        <v>4</v>
      </c>
      <c r="U13" s="107">
        <f t="shared" si="3"/>
        <v>0.25</v>
      </c>
      <c r="V13" s="105">
        <f t="shared" si="4"/>
        <v>2</v>
      </c>
      <c r="W13" s="106">
        <f t="shared" si="5"/>
        <v>0.714285714285714</v>
      </c>
      <c r="X13" s="107">
        <f t="shared" si="6"/>
        <v>0.285714285714286</v>
      </c>
      <c r="Y13" s="105">
        <f t="shared" si="18"/>
        <v>0.408163265306122</v>
      </c>
      <c r="Z13" s="106">
        <f t="shared" si="8"/>
        <v>0.758163265306122</v>
      </c>
      <c r="AA13" s="106">
        <f t="shared" si="19"/>
        <v>0.276374934214579</v>
      </c>
      <c r="AB13" s="106">
        <v>0</v>
      </c>
      <c r="AC13" s="106">
        <f t="shared" si="20"/>
        <v>0.00076383104262113</v>
      </c>
      <c r="AD13" s="107">
        <f t="shared" si="21"/>
        <v>0.00076383104262113</v>
      </c>
      <c r="AE13" s="105">
        <f t="shared" si="22"/>
        <v>0.0178571428571429</v>
      </c>
      <c r="AF13" s="106">
        <f t="shared" si="23"/>
        <v>0.276374934214579</v>
      </c>
      <c r="AG13" s="106">
        <f t="shared" si="10"/>
        <v>0.000496490177703735</v>
      </c>
      <c r="AH13" s="106">
        <f t="shared" si="11"/>
        <v>-0.00950640613731882</v>
      </c>
      <c r="AI13" s="107">
        <f t="shared" si="24"/>
        <v>-0.00900991595961509</v>
      </c>
      <c r="AJ13" s="105">
        <f t="shared" si="25"/>
        <v>0.1</v>
      </c>
      <c r="AK13" s="106">
        <f t="shared" si="26"/>
        <v>0.302791564284077</v>
      </c>
      <c r="AL13" s="106">
        <f t="shared" si="27"/>
        <v>0.0325</v>
      </c>
      <c r="AM13" s="106">
        <f t="shared" si="14"/>
        <v>0</v>
      </c>
      <c r="AN13" s="107">
        <f t="shared" si="28"/>
        <v>0.0325</v>
      </c>
      <c r="AO13" s="105">
        <f t="shared" si="15"/>
        <v>0.00076383104262113</v>
      </c>
      <c r="AP13" s="106">
        <f t="shared" si="16"/>
        <v>0.1512</v>
      </c>
      <c r="AQ13" s="107">
        <f t="shared" si="29"/>
        <v>0.0132</v>
      </c>
      <c r="AR13" s="105">
        <f t="shared" si="30"/>
        <v>0.188653915083006</v>
      </c>
      <c r="AS13" s="106">
        <f t="shared" si="31"/>
        <v>1</v>
      </c>
      <c r="AT13" s="107">
        <f t="shared" si="32"/>
        <v>84.1287768719601</v>
      </c>
    </row>
    <row r="14" spans="1:46">
      <c r="Q14">
        <v>7</v>
      </c>
      <c r="R14" s="105">
        <f t="shared" si="0"/>
        <v>10</v>
      </c>
      <c r="S14" s="106">
        <f t="shared" si="1"/>
        <v>0.116666666666667</v>
      </c>
      <c r="T14" s="106">
        <f t="shared" si="2"/>
        <v>4</v>
      </c>
      <c r="U14" s="107">
        <f t="shared" si="3"/>
        <v>0.291666666666667</v>
      </c>
      <c r="V14" s="105">
        <f t="shared" si="4"/>
        <v>2</v>
      </c>
      <c r="W14" s="106">
        <f t="shared" si="5"/>
        <v>0.714285714285714</v>
      </c>
      <c r="X14" s="107">
        <f t="shared" si="6"/>
        <v>0.285714285714286</v>
      </c>
      <c r="Y14" s="105">
        <f t="shared" si="18"/>
        <v>0.408163265306122</v>
      </c>
      <c r="Z14" s="106">
        <f t="shared" si="8"/>
        <v>0.816496598639456</v>
      </c>
      <c r="AA14" s="106">
        <f t="shared" si="19"/>
        <v>0.314567240358174</v>
      </c>
      <c r="AB14" s="106">
        <v>0</v>
      </c>
      <c r="AC14" s="106">
        <f t="shared" si="20"/>
        <v>0.000989525487065575</v>
      </c>
      <c r="AD14" s="107">
        <f t="shared" si="21"/>
        <v>0.000989525487065575</v>
      </c>
      <c r="AE14" s="105">
        <f t="shared" si="22"/>
        <v>0.0243055555555556</v>
      </c>
      <c r="AF14" s="106">
        <f t="shared" si="23"/>
        <v>0.314567240358174</v>
      </c>
      <c r="AG14" s="106">
        <f t="shared" si="10"/>
        <v>0.000643191566592624</v>
      </c>
      <c r="AH14" s="106">
        <f t="shared" si="11"/>
        <v>-0.0110908071602053</v>
      </c>
      <c r="AI14" s="107">
        <f t="shared" si="24"/>
        <v>-0.0104476155936127</v>
      </c>
      <c r="AJ14" s="105">
        <f t="shared" si="25"/>
        <v>0.116666666666667</v>
      </c>
      <c r="AK14" s="106">
        <f t="shared" si="26"/>
        <v>0.333353178144326</v>
      </c>
      <c r="AL14" s="106">
        <f t="shared" si="27"/>
        <v>0.0379166666666667</v>
      </c>
      <c r="AM14" s="106">
        <f t="shared" si="14"/>
        <v>0</v>
      </c>
      <c r="AN14" s="107">
        <f t="shared" si="28"/>
        <v>0.0379166666666667</v>
      </c>
      <c r="AO14" s="105">
        <f t="shared" si="15"/>
        <v>0.000989525487065575</v>
      </c>
      <c r="AP14" s="106">
        <f t="shared" si="16"/>
        <v>0.1512</v>
      </c>
      <c r="AQ14" s="107">
        <f t="shared" si="29"/>
        <v>0.0132</v>
      </c>
      <c r="AR14" s="105">
        <f t="shared" si="30"/>
        <v>0.19285857656012</v>
      </c>
      <c r="AS14" s="106">
        <f t="shared" si="31"/>
        <v>1.16666666666667</v>
      </c>
      <c r="AT14" s="107">
        <f t="shared" si="32"/>
        <v>85.8142702740571</v>
      </c>
    </row>
    <row r="15" spans="1:46">
      <c r="O15">
        <f>0.205*2.5/(Lm*Fsw)</f>
        <v>0.0732142857142857</v>
      </c>
      <c r="Q15">
        <v>8</v>
      </c>
      <c r="R15" s="105">
        <f t="shared" si="0"/>
        <v>10</v>
      </c>
      <c r="S15" s="106">
        <f t="shared" si="1"/>
        <v>0.133333333333333</v>
      </c>
      <c r="T15" s="106">
        <f t="shared" si="2"/>
        <v>4</v>
      </c>
      <c r="U15" s="107">
        <f t="shared" si="3"/>
        <v>0.333333333333333</v>
      </c>
      <c r="V15" s="105">
        <f t="shared" si="4"/>
        <v>2</v>
      </c>
      <c r="W15" s="106">
        <f t="shared" si="5"/>
        <v>0.714285714285714</v>
      </c>
      <c r="X15" s="107">
        <f t="shared" si="6"/>
        <v>0.285714285714286</v>
      </c>
      <c r="Y15" s="105">
        <f t="shared" si="18"/>
        <v>0.408163265306122</v>
      </c>
      <c r="Z15" s="106">
        <f t="shared" si="8"/>
        <v>0.874829931972789</v>
      </c>
      <c r="AA15" s="106">
        <f t="shared" si="19"/>
        <v>0.353545209800987</v>
      </c>
      <c r="AB15" s="106">
        <v>0</v>
      </c>
      <c r="AC15" s="106">
        <f t="shared" si="20"/>
        <v>0.00124994215373224</v>
      </c>
      <c r="AD15" s="107">
        <f t="shared" si="21"/>
        <v>0.00124994215373224</v>
      </c>
      <c r="AE15" s="105">
        <f t="shared" si="22"/>
        <v>0.0317460317460317</v>
      </c>
      <c r="AF15" s="106">
        <f t="shared" si="23"/>
        <v>0.353545209800987</v>
      </c>
      <c r="AG15" s="106">
        <f t="shared" si="10"/>
        <v>0.000812462399925957</v>
      </c>
      <c r="AH15" s="106">
        <f t="shared" si="11"/>
        <v>-0.0126752081830918</v>
      </c>
      <c r="AI15" s="107">
        <f t="shared" si="24"/>
        <v>-0.0118627457831658</v>
      </c>
      <c r="AJ15" s="105">
        <f t="shared" si="25"/>
        <v>0.133333333333333</v>
      </c>
      <c r="AK15" s="106">
        <f t="shared" si="26"/>
        <v>0.364019773914401</v>
      </c>
      <c r="AL15" s="106">
        <f t="shared" si="27"/>
        <v>0.0433333333333333</v>
      </c>
      <c r="AM15" s="106">
        <f t="shared" si="14"/>
        <v>0</v>
      </c>
      <c r="AN15" s="107">
        <f t="shared" si="28"/>
        <v>0.0433333333333333</v>
      </c>
      <c r="AO15" s="105">
        <f t="shared" si="15"/>
        <v>0.00124994215373224</v>
      </c>
      <c r="AP15" s="106">
        <f t="shared" si="16"/>
        <v>0.1512</v>
      </c>
      <c r="AQ15" s="107">
        <f t="shared" si="29"/>
        <v>0.0132</v>
      </c>
      <c r="AR15" s="105">
        <f t="shared" si="30"/>
        <v>0.1971205297039</v>
      </c>
      <c r="AS15" s="106">
        <f t="shared" si="31"/>
        <v>1.33333333333333</v>
      </c>
      <c r="AT15" s="107">
        <f t="shared" si="32"/>
        <v>87.1201259662472</v>
      </c>
    </row>
    <row r="16" spans="1:46">
      <c r="Q16">
        <v>9</v>
      </c>
      <c r="R16" s="105">
        <f t="shared" si="0"/>
        <v>10</v>
      </c>
      <c r="S16" s="106">
        <f t="shared" si="1"/>
        <v>0.15</v>
      </c>
      <c r="T16" s="106">
        <f t="shared" si="2"/>
        <v>4</v>
      </c>
      <c r="U16" s="107">
        <f t="shared" si="3"/>
        <v>0.375</v>
      </c>
      <c r="V16" s="105">
        <f t="shared" si="4"/>
        <v>2</v>
      </c>
      <c r="W16" s="106">
        <f t="shared" si="5"/>
        <v>0.714285714285714</v>
      </c>
      <c r="X16" s="107">
        <f t="shared" si="6"/>
        <v>0.285714285714286</v>
      </c>
      <c r="Y16" s="105">
        <f t="shared" si="18"/>
        <v>0.408163265306122</v>
      </c>
      <c r="Z16" s="106">
        <f t="shared" si="8"/>
        <v>0.933163265306122</v>
      </c>
      <c r="AA16" s="106">
        <f t="shared" si="19"/>
        <v>0.393075189069614</v>
      </c>
      <c r="AB16" s="106">
        <v>0</v>
      </c>
      <c r="AC16" s="106">
        <f t="shared" si="20"/>
        <v>0.00154508104262113</v>
      </c>
      <c r="AD16" s="107">
        <f t="shared" si="21"/>
        <v>0.00154508104262113</v>
      </c>
      <c r="AE16" s="105">
        <f t="shared" si="22"/>
        <v>0.0401785714285714</v>
      </c>
      <c r="AF16" s="106">
        <f t="shared" si="23"/>
        <v>0.393075189069614</v>
      </c>
      <c r="AG16" s="106">
        <f t="shared" si="10"/>
        <v>0.00100430267770373</v>
      </c>
      <c r="AH16" s="106">
        <f t="shared" si="11"/>
        <v>-0.0142596092059782</v>
      </c>
      <c r="AI16" s="107">
        <f t="shared" si="24"/>
        <v>-0.0132553065282745</v>
      </c>
      <c r="AJ16" s="105">
        <f t="shared" si="25"/>
        <v>0.15</v>
      </c>
      <c r="AK16" s="106">
        <f t="shared" si="26"/>
        <v>0.394766886487335</v>
      </c>
      <c r="AL16" s="106">
        <f t="shared" si="27"/>
        <v>0.04875</v>
      </c>
      <c r="AM16" s="106">
        <f t="shared" si="14"/>
        <v>0</v>
      </c>
      <c r="AN16" s="107">
        <f t="shared" si="28"/>
        <v>0.04875</v>
      </c>
      <c r="AO16" s="105">
        <f t="shared" si="15"/>
        <v>0.00154508104262113</v>
      </c>
      <c r="AP16" s="106">
        <f t="shared" si="16"/>
        <v>0.1512</v>
      </c>
      <c r="AQ16" s="107">
        <f t="shared" si="29"/>
        <v>0.0132</v>
      </c>
      <c r="AR16" s="105">
        <f t="shared" si="30"/>
        <v>0.201439774514347</v>
      </c>
      <c r="AS16" s="106">
        <f t="shared" si="31"/>
        <v>1.5</v>
      </c>
      <c r="AT16" s="107">
        <f t="shared" si="32"/>
        <v>88.1606285728306</v>
      </c>
    </row>
    <row r="17" spans="17:46">
      <c r="Q17">
        <v>10</v>
      </c>
      <c r="R17" s="105">
        <f t="shared" si="0"/>
        <v>10</v>
      </c>
      <c r="S17" s="106">
        <f t="shared" si="1"/>
        <v>0.166666666666667</v>
      </c>
      <c r="T17" s="106">
        <f t="shared" si="2"/>
        <v>4</v>
      </c>
      <c r="U17" s="107">
        <f t="shared" si="3"/>
        <v>0.416666666666667</v>
      </c>
      <c r="V17" s="105">
        <f t="shared" si="4"/>
        <v>2</v>
      </c>
      <c r="W17" s="106">
        <f t="shared" si="5"/>
        <v>0.714285714285714</v>
      </c>
      <c r="X17" s="107">
        <f t="shared" si="6"/>
        <v>0.285714285714286</v>
      </c>
      <c r="Y17" s="105">
        <f t="shared" si="18"/>
        <v>0.408163265306122</v>
      </c>
      <c r="Z17" s="106">
        <f t="shared" si="8"/>
        <v>0.991496598639456</v>
      </c>
      <c r="AA17" s="106">
        <f t="shared" si="19"/>
        <v>0.433006022329048</v>
      </c>
      <c r="AB17" s="106">
        <v>0</v>
      </c>
      <c r="AC17" s="106">
        <f t="shared" si="20"/>
        <v>0.00187494215373224</v>
      </c>
      <c r="AD17" s="107">
        <f t="shared" si="21"/>
        <v>0.00187494215373224</v>
      </c>
      <c r="AE17" s="105">
        <f t="shared" si="22"/>
        <v>0.0496031746031746</v>
      </c>
      <c r="AF17" s="106">
        <f t="shared" si="23"/>
        <v>0.433006022329048</v>
      </c>
      <c r="AG17" s="106">
        <f t="shared" si="10"/>
        <v>0.00121871239992596</v>
      </c>
      <c r="AH17" s="106">
        <f t="shared" si="11"/>
        <v>-0.0158440102288647</v>
      </c>
      <c r="AI17" s="107">
        <f t="shared" si="24"/>
        <v>-0.0146252978289387</v>
      </c>
      <c r="AJ17" s="105">
        <f t="shared" si="25"/>
        <v>0.166666666666667</v>
      </c>
      <c r="AK17" s="106">
        <f t="shared" si="26"/>
        <v>0.425577064675203</v>
      </c>
      <c r="AL17" s="106">
        <f t="shared" si="27"/>
        <v>0.0541666666666667</v>
      </c>
      <c r="AM17" s="106">
        <f t="shared" si="14"/>
        <v>0</v>
      </c>
      <c r="AN17" s="107">
        <f t="shared" si="28"/>
        <v>0.0541666666666667</v>
      </c>
      <c r="AO17" s="105">
        <f t="shared" si="15"/>
        <v>0.00187494215373224</v>
      </c>
      <c r="AP17" s="106">
        <f t="shared" si="16"/>
        <v>0.1512</v>
      </c>
      <c r="AQ17" s="107">
        <f t="shared" si="29"/>
        <v>0.0132</v>
      </c>
      <c r="AR17" s="105">
        <f t="shared" si="30"/>
        <v>0.20581631099146</v>
      </c>
      <c r="AS17" s="106">
        <f t="shared" si="31"/>
        <v>1.66666666666667</v>
      </c>
      <c r="AT17" s="107">
        <f t="shared" si="32"/>
        <v>89.0083747918034</v>
      </c>
    </row>
    <row r="18" spans="17:46">
      <c r="Q18">
        <v>11</v>
      </c>
      <c r="R18" s="105">
        <f t="shared" si="0"/>
        <v>10</v>
      </c>
      <c r="S18" s="106">
        <f t="shared" si="1"/>
        <v>0.183333333333333</v>
      </c>
      <c r="T18" s="106">
        <f t="shared" si="2"/>
        <v>4</v>
      </c>
      <c r="U18" s="107">
        <f t="shared" si="3"/>
        <v>0.458333333333333</v>
      </c>
      <c r="V18" s="105">
        <f t="shared" si="4"/>
        <v>2</v>
      </c>
      <c r="W18" s="106">
        <f t="shared" si="5"/>
        <v>0.714285714285714</v>
      </c>
      <c r="X18" s="107">
        <f t="shared" si="6"/>
        <v>0.285714285714286</v>
      </c>
      <c r="Y18" s="105">
        <f t="shared" si="18"/>
        <v>0.408163265306122</v>
      </c>
      <c r="Z18" s="106">
        <f t="shared" si="8"/>
        <v>1.04982993197279</v>
      </c>
      <c r="AA18" s="106">
        <f t="shared" si="19"/>
        <v>0.473236250414692</v>
      </c>
      <c r="AB18" s="106">
        <v>0</v>
      </c>
      <c r="AC18" s="106">
        <f t="shared" si="20"/>
        <v>0.00223952548706557</v>
      </c>
      <c r="AD18" s="107">
        <f t="shared" si="21"/>
        <v>0.00223952548706557</v>
      </c>
      <c r="AE18" s="105">
        <f t="shared" si="22"/>
        <v>0.0600198412698413</v>
      </c>
      <c r="AF18" s="106">
        <f t="shared" si="23"/>
        <v>0.473236250414692</v>
      </c>
      <c r="AG18" s="106">
        <f t="shared" si="10"/>
        <v>0.00145569156659262</v>
      </c>
      <c r="AH18" s="106">
        <f t="shared" si="11"/>
        <v>-0.0174284112517512</v>
      </c>
      <c r="AI18" s="107">
        <f t="shared" si="24"/>
        <v>-0.0159727196851586</v>
      </c>
      <c r="AJ18" s="105">
        <f t="shared" si="25"/>
        <v>0.183333333333333</v>
      </c>
      <c r="AK18" s="106">
        <f t="shared" si="26"/>
        <v>0.456437537602534</v>
      </c>
      <c r="AL18" s="106">
        <f t="shared" si="27"/>
        <v>0.0595833333333333</v>
      </c>
      <c r="AM18" s="106">
        <f t="shared" si="14"/>
        <v>0</v>
      </c>
      <c r="AN18" s="107">
        <f t="shared" si="28"/>
        <v>0.0595833333333333</v>
      </c>
      <c r="AO18" s="105">
        <f t="shared" si="15"/>
        <v>0.00223952548706557</v>
      </c>
      <c r="AP18" s="106">
        <f t="shared" si="16"/>
        <v>0.1512</v>
      </c>
      <c r="AQ18" s="107">
        <f t="shared" si="29"/>
        <v>0.0132</v>
      </c>
      <c r="AR18" s="105">
        <f t="shared" si="30"/>
        <v>0.21025013913524</v>
      </c>
      <c r="AS18" s="106">
        <f t="shared" si="31"/>
        <v>1.83333333333333</v>
      </c>
      <c r="AT18" s="107">
        <f t="shared" si="32"/>
        <v>89.7116931132123</v>
      </c>
    </row>
    <row r="19" spans="17:46">
      <c r="Q19">
        <v>12</v>
      </c>
      <c r="R19" s="105">
        <f t="shared" si="0"/>
        <v>10</v>
      </c>
      <c r="S19" s="106">
        <f t="shared" si="1"/>
        <v>0.2</v>
      </c>
      <c r="T19" s="106">
        <f t="shared" si="2"/>
        <v>4</v>
      </c>
      <c r="U19" s="107">
        <f t="shared" si="3"/>
        <v>0.5</v>
      </c>
      <c r="V19" s="105">
        <f t="shared" si="4"/>
        <v>2</v>
      </c>
      <c r="W19" s="106">
        <f t="shared" si="5"/>
        <v>0.714285714285714</v>
      </c>
      <c r="X19" s="107">
        <f t="shared" si="6"/>
        <v>0.285714285714286</v>
      </c>
      <c r="Y19" s="105">
        <f t="shared" si="18"/>
        <v>0.408163265306122</v>
      </c>
      <c r="Z19" s="106">
        <f t="shared" si="8"/>
        <v>1.10816326530612</v>
      </c>
      <c r="AA19" s="106">
        <f t="shared" si="19"/>
        <v>0.513695536540968</v>
      </c>
      <c r="AB19" s="106">
        <v>0</v>
      </c>
      <c r="AC19" s="106">
        <f t="shared" si="20"/>
        <v>0.00263883104262113</v>
      </c>
      <c r="AD19" s="107">
        <f t="shared" si="21"/>
        <v>0.00263883104262113</v>
      </c>
      <c r="AE19" s="105">
        <f t="shared" si="22"/>
        <v>0.0714285714285714</v>
      </c>
      <c r="AF19" s="106">
        <f t="shared" si="23"/>
        <v>0.513695536540968</v>
      </c>
      <c r="AG19" s="106">
        <f t="shared" si="10"/>
        <v>0.00171524017770373</v>
      </c>
      <c r="AH19" s="106">
        <f t="shared" si="11"/>
        <v>-0.0190128122746376</v>
      </c>
      <c r="AI19" s="107">
        <f t="shared" si="24"/>
        <v>-0.0172975720969339</v>
      </c>
      <c r="AJ19" s="105">
        <f t="shared" si="25"/>
        <v>0.2</v>
      </c>
      <c r="AK19" s="106">
        <f t="shared" si="26"/>
        <v>0.487338750698332</v>
      </c>
      <c r="AL19" s="106">
        <f t="shared" si="27"/>
        <v>0.065</v>
      </c>
      <c r="AM19" s="106">
        <f t="shared" si="14"/>
        <v>0</v>
      </c>
      <c r="AN19" s="107">
        <f t="shared" si="28"/>
        <v>0.065</v>
      </c>
      <c r="AO19" s="105">
        <f t="shared" si="15"/>
        <v>0.00263883104262113</v>
      </c>
      <c r="AP19" s="106">
        <f t="shared" si="16"/>
        <v>0.1512</v>
      </c>
      <c r="AQ19" s="107">
        <f t="shared" si="29"/>
        <v>0.0132</v>
      </c>
      <c r="AR19" s="105">
        <f t="shared" si="30"/>
        <v>0.214741258945687</v>
      </c>
      <c r="AS19" s="106">
        <f t="shared" si="31"/>
        <v>2</v>
      </c>
      <c r="AT19" s="107">
        <f t="shared" si="32"/>
        <v>90.3040024166113</v>
      </c>
    </row>
    <row r="20" spans="17:46">
      <c r="Q20">
        <v>13</v>
      </c>
      <c r="R20" s="105">
        <f t="shared" si="0"/>
        <v>10</v>
      </c>
      <c r="S20" s="106">
        <f t="shared" si="1"/>
        <v>0.216666666666667</v>
      </c>
      <c r="T20" s="106">
        <f t="shared" si="2"/>
        <v>4</v>
      </c>
      <c r="U20" s="107">
        <f t="shared" si="3"/>
        <v>0.541666666666667</v>
      </c>
      <c r="V20" s="105">
        <f t="shared" si="4"/>
        <v>2</v>
      </c>
      <c r="W20" s="106">
        <f t="shared" si="5"/>
        <v>0.714285714285714</v>
      </c>
      <c r="X20" s="107">
        <f t="shared" si="6"/>
        <v>0.285714285714286</v>
      </c>
      <c r="Y20" s="105">
        <f t="shared" si="18"/>
        <v>0.408163265306122</v>
      </c>
      <c r="Z20" s="106">
        <f t="shared" ref="Z20:Z71" si="33">CHOOSE(V20,Y20,U20+S20+(Y20))</f>
        <v>1.16649659863946</v>
      </c>
      <c r="AA20" s="106">
        <f t="shared" si="19"/>
        <v>0.554333728037444</v>
      </c>
      <c r="AB20" s="106">
        <v>0</v>
      </c>
      <c r="AC20" s="106">
        <f t="shared" si="20"/>
        <v>0.00307285882039891</v>
      </c>
      <c r="AD20" s="107">
        <f t="shared" si="21"/>
        <v>0.00307285882039891</v>
      </c>
      <c r="AE20" s="105">
        <f t="shared" si="22"/>
        <v>0.0838293650793651</v>
      </c>
      <c r="AF20" s="106">
        <f t="shared" si="23"/>
        <v>0.554333728037444</v>
      </c>
      <c r="AG20" s="106">
        <f t="shared" si="10"/>
        <v>0.00199735823325929</v>
      </c>
      <c r="AH20" s="106">
        <f t="shared" si="11"/>
        <v>-0.0205972132975241</v>
      </c>
      <c r="AI20" s="107">
        <f t="shared" si="24"/>
        <v>-0.0185998550642648</v>
      </c>
      <c r="AJ20" s="105">
        <f t="shared" si="25"/>
        <v>0.216666666666667</v>
      </c>
      <c r="AK20" s="106">
        <f t="shared" si="26"/>
        <v>0.518273416814139</v>
      </c>
      <c r="AL20" s="106">
        <f t="shared" si="27"/>
        <v>0.0704166666666667</v>
      </c>
      <c r="AM20" s="106">
        <f t="shared" si="14"/>
        <v>0</v>
      </c>
      <c r="AN20" s="107">
        <f t="shared" si="28"/>
        <v>0.0704166666666667</v>
      </c>
      <c r="AO20" s="105">
        <f t="shared" si="15"/>
        <v>0.00307285882039891</v>
      </c>
      <c r="AP20" s="106">
        <f t="shared" si="16"/>
        <v>0.1512</v>
      </c>
      <c r="AQ20" s="107">
        <f t="shared" si="29"/>
        <v>0.0132</v>
      </c>
      <c r="AR20" s="105">
        <f t="shared" si="30"/>
        <v>0.219289670422801</v>
      </c>
      <c r="AS20" s="106">
        <f t="shared" si="31"/>
        <v>2.16666666666667</v>
      </c>
      <c r="AT20" s="107">
        <f t="shared" si="32"/>
        <v>90.8091498987654</v>
      </c>
    </row>
    <row r="21" spans="17:46">
      <c r="Q21">
        <v>14</v>
      </c>
      <c r="R21" s="105">
        <f t="shared" si="0"/>
        <v>10</v>
      </c>
      <c r="S21" s="106">
        <f t="shared" si="1"/>
        <v>0.233333333333333</v>
      </c>
      <c r="T21" s="106">
        <f t="shared" si="2"/>
        <v>4</v>
      </c>
      <c r="U21" s="107">
        <f t="shared" si="3"/>
        <v>0.583333333333333</v>
      </c>
      <c r="V21" s="105">
        <f t="shared" si="4"/>
        <v>2</v>
      </c>
      <c r="W21" s="106">
        <f t="shared" si="5"/>
        <v>0.714285714285714</v>
      </c>
      <c r="X21" s="107">
        <f t="shared" si="6"/>
        <v>0.285714285714286</v>
      </c>
      <c r="Y21" s="105">
        <f t="shared" si="18"/>
        <v>0.408163265306122</v>
      </c>
      <c r="Z21" s="106">
        <f t="shared" si="33"/>
        <v>1.22482993197279</v>
      </c>
      <c r="AA21" s="106">
        <f t="shared" si="19"/>
        <v>0.595114175633458</v>
      </c>
      <c r="AB21" s="106">
        <v>0</v>
      </c>
      <c r="AC21" s="106">
        <f t="shared" si="20"/>
        <v>0.00354160882039891</v>
      </c>
      <c r="AD21" s="107">
        <f t="shared" si="21"/>
        <v>0.00354160882039891</v>
      </c>
      <c r="AE21" s="105">
        <f t="shared" si="22"/>
        <v>0.0972222222222222</v>
      </c>
      <c r="AF21" s="106">
        <f t="shared" si="23"/>
        <v>0.595114175633458</v>
      </c>
      <c r="AG21" s="106">
        <f t="shared" si="10"/>
        <v>0.00230204573325929</v>
      </c>
      <c r="AH21" s="106">
        <f t="shared" si="11"/>
        <v>-0.0221816143204106</v>
      </c>
      <c r="AI21" s="107">
        <f t="shared" si="24"/>
        <v>-0.0198795685871513</v>
      </c>
      <c r="AJ21" s="105">
        <f t="shared" si="25"/>
        <v>0.233333333333333</v>
      </c>
      <c r="AK21" s="106">
        <f t="shared" si="26"/>
        <v>0.549235883445935</v>
      </c>
      <c r="AL21" s="106">
        <f t="shared" si="27"/>
        <v>0.0758333333333333</v>
      </c>
      <c r="AM21" s="106">
        <f t="shared" si="14"/>
        <v>0</v>
      </c>
      <c r="AN21" s="107">
        <f t="shared" si="28"/>
        <v>0.0758333333333333</v>
      </c>
      <c r="AO21" s="105">
        <f t="shared" si="15"/>
        <v>0.00354160882039891</v>
      </c>
      <c r="AP21" s="106">
        <f t="shared" si="16"/>
        <v>0.1512</v>
      </c>
      <c r="AQ21" s="107">
        <f t="shared" si="29"/>
        <v>0.0132</v>
      </c>
      <c r="AR21" s="105">
        <f t="shared" si="30"/>
        <v>0.223895373566581</v>
      </c>
      <c r="AS21" s="106">
        <f t="shared" si="31"/>
        <v>2.33333333333333</v>
      </c>
      <c r="AT21" s="107">
        <f t="shared" si="32"/>
        <v>91.2446089408246</v>
      </c>
    </row>
    <row r="22" spans="17:46">
      <c r="Q22">
        <v>15</v>
      </c>
      <c r="R22" s="105">
        <f t="shared" si="0"/>
        <v>10</v>
      </c>
      <c r="S22" s="106">
        <f t="shared" si="1"/>
        <v>0.25</v>
      </c>
      <c r="T22" s="106">
        <f t="shared" si="2"/>
        <v>4</v>
      </c>
      <c r="U22" s="107">
        <f t="shared" si="3"/>
        <v>0.625</v>
      </c>
      <c r="V22" s="105">
        <f t="shared" si="4"/>
        <v>2</v>
      </c>
      <c r="W22" s="106">
        <f t="shared" si="5"/>
        <v>0.714285714285714</v>
      </c>
      <c r="X22" s="107">
        <f t="shared" si="6"/>
        <v>0.285714285714286</v>
      </c>
      <c r="Y22" s="105">
        <f t="shared" si="18"/>
        <v>0.408163265306122</v>
      </c>
      <c r="Z22" s="106">
        <f t="shared" si="33"/>
        <v>1.28316326530612</v>
      </c>
      <c r="AA22" s="106">
        <f t="shared" si="19"/>
        <v>0.636009515858146</v>
      </c>
      <c r="AB22" s="106">
        <v>0</v>
      </c>
      <c r="AC22" s="106">
        <f t="shared" si="20"/>
        <v>0.00404508104262113</v>
      </c>
      <c r="AD22" s="107">
        <f t="shared" si="21"/>
        <v>0.00404508104262113</v>
      </c>
      <c r="AE22" s="105">
        <f t="shared" si="22"/>
        <v>0.111607142857143</v>
      </c>
      <c r="AF22" s="106">
        <f t="shared" si="23"/>
        <v>0.636009515858146</v>
      </c>
      <c r="AG22" s="106">
        <f t="shared" si="10"/>
        <v>0.00262930267770373</v>
      </c>
      <c r="AH22" s="106">
        <f t="shared" si="11"/>
        <v>-0.0237660153432971</v>
      </c>
      <c r="AI22" s="107">
        <f t="shared" si="24"/>
        <v>-0.0211367126655933</v>
      </c>
      <c r="AJ22" s="105">
        <f t="shared" si="25"/>
        <v>0.25</v>
      </c>
      <c r="AK22" s="106">
        <f t="shared" si="26"/>
        <v>0.58022170004018</v>
      </c>
      <c r="AL22" s="106">
        <f t="shared" si="27"/>
        <v>0.08125</v>
      </c>
      <c r="AM22" s="106">
        <f t="shared" si="14"/>
        <v>0</v>
      </c>
      <c r="AN22" s="107">
        <f t="shared" si="28"/>
        <v>0.08125</v>
      </c>
      <c r="AO22" s="105">
        <f t="shared" si="15"/>
        <v>0.00404508104262113</v>
      </c>
      <c r="AP22" s="106">
        <f t="shared" si="16"/>
        <v>0.1512</v>
      </c>
      <c r="AQ22" s="107">
        <f t="shared" si="29"/>
        <v>0.0132</v>
      </c>
      <c r="AR22" s="105">
        <f t="shared" si="30"/>
        <v>0.228558368377028</v>
      </c>
      <c r="AS22" s="106">
        <f t="shared" si="31"/>
        <v>2.5</v>
      </c>
      <c r="AT22" s="107">
        <f t="shared" si="32"/>
        <v>91.6234752011929</v>
      </c>
    </row>
    <row r="23" spans="17:46">
      <c r="Q23">
        <v>16</v>
      </c>
      <c r="R23" s="105">
        <f t="shared" si="0"/>
        <v>10</v>
      </c>
      <c r="S23" s="106">
        <f t="shared" si="1"/>
        <v>0.266666666666667</v>
      </c>
      <c r="T23" s="106">
        <f t="shared" si="2"/>
        <v>4</v>
      </c>
      <c r="U23" s="107">
        <f t="shared" si="3"/>
        <v>0.666666666666667</v>
      </c>
      <c r="V23" s="105">
        <f t="shared" si="4"/>
        <v>2</v>
      </c>
      <c r="W23" s="106">
        <f t="shared" si="5"/>
        <v>0.714285714285714</v>
      </c>
      <c r="X23" s="107">
        <f t="shared" si="6"/>
        <v>0.285714285714286</v>
      </c>
      <c r="Y23" s="105">
        <f t="shared" si="18"/>
        <v>0.408163265306122</v>
      </c>
      <c r="Z23" s="106">
        <f t="shared" si="33"/>
        <v>1.34149659863946</v>
      </c>
      <c r="AA23" s="106">
        <f t="shared" si="19"/>
        <v>0.676998928142842</v>
      </c>
      <c r="AB23" s="106">
        <v>0</v>
      </c>
      <c r="AC23" s="106">
        <f t="shared" si="20"/>
        <v>0.00458327548706557</v>
      </c>
      <c r="AD23" s="107">
        <f t="shared" si="21"/>
        <v>0.00458327548706557</v>
      </c>
      <c r="AE23" s="105">
        <f t="shared" si="22"/>
        <v>0.126984126984127</v>
      </c>
      <c r="AF23" s="106">
        <f t="shared" si="23"/>
        <v>0.676998928142842</v>
      </c>
      <c r="AG23" s="106">
        <f t="shared" si="10"/>
        <v>0.00297912906659262</v>
      </c>
      <c r="AH23" s="106">
        <f t="shared" si="11"/>
        <v>-0.0253504163661835</v>
      </c>
      <c r="AI23" s="107">
        <f t="shared" si="24"/>
        <v>-0.0223712872995909</v>
      </c>
      <c r="AJ23" s="105">
        <f t="shared" si="25"/>
        <v>0.266666666666667</v>
      </c>
      <c r="AK23" s="106">
        <f t="shared" si="26"/>
        <v>0.61122731546851</v>
      </c>
      <c r="AL23" s="106">
        <f t="shared" si="27"/>
        <v>0.0866666666666667</v>
      </c>
      <c r="AM23" s="106">
        <f t="shared" si="14"/>
        <v>0</v>
      </c>
      <c r="AN23" s="107">
        <f t="shared" si="28"/>
        <v>0.0866666666666667</v>
      </c>
      <c r="AO23" s="105">
        <f t="shared" si="15"/>
        <v>0.00458327548706557</v>
      </c>
      <c r="AP23" s="106">
        <f t="shared" si="16"/>
        <v>0.1512</v>
      </c>
      <c r="AQ23" s="107">
        <f t="shared" si="29"/>
        <v>0.0132</v>
      </c>
      <c r="AR23" s="105">
        <f t="shared" si="30"/>
        <v>0.233278654854141</v>
      </c>
      <c r="AS23" s="106">
        <f t="shared" si="31"/>
        <v>2.66666666666667</v>
      </c>
      <c r="AT23" s="107">
        <f t="shared" si="32"/>
        <v>91.9557567819312</v>
      </c>
    </row>
    <row r="24" spans="17:46">
      <c r="Q24">
        <v>17</v>
      </c>
      <c r="R24" s="105">
        <f t="shared" si="0"/>
        <v>10</v>
      </c>
      <c r="S24" s="106">
        <f t="shared" si="1"/>
        <v>0.283333333333333</v>
      </c>
      <c r="T24" s="106">
        <f t="shared" si="2"/>
        <v>4</v>
      </c>
      <c r="U24" s="107">
        <f t="shared" si="3"/>
        <v>0.708333333333333</v>
      </c>
      <c r="V24" s="105">
        <f t="shared" si="4"/>
        <v>2</v>
      </c>
      <c r="W24" s="106">
        <f t="shared" si="5"/>
        <v>0.714285714285714</v>
      </c>
      <c r="X24" s="107">
        <f t="shared" si="6"/>
        <v>0.285714285714286</v>
      </c>
      <c r="Y24" s="105">
        <f t="shared" si="18"/>
        <v>0.408163265306122</v>
      </c>
      <c r="Z24" s="106">
        <f t="shared" si="33"/>
        <v>1.39982993197279</v>
      </c>
      <c r="AA24" s="106">
        <f t="shared" si="19"/>
        <v>0.718066302908878</v>
      </c>
      <c r="AB24" s="106">
        <v>0</v>
      </c>
      <c r="AC24" s="106">
        <f t="shared" si="20"/>
        <v>0.00515619215373224</v>
      </c>
      <c r="AD24" s="107">
        <f t="shared" si="21"/>
        <v>0.00515619215373224</v>
      </c>
      <c r="AE24" s="105">
        <f t="shared" si="22"/>
        <v>0.143353174603175</v>
      </c>
      <c r="AF24" s="106">
        <f t="shared" si="23"/>
        <v>0.718066302908878</v>
      </c>
      <c r="AG24" s="106">
        <f t="shared" si="10"/>
        <v>0.00335152489992596</v>
      </c>
      <c r="AH24" s="106">
        <f t="shared" si="11"/>
        <v>-0.02693481738907</v>
      </c>
      <c r="AI24" s="107">
        <f t="shared" si="24"/>
        <v>-0.023583292489144</v>
      </c>
      <c r="AJ24" s="105">
        <f t="shared" si="25"/>
        <v>0.283333333333333</v>
      </c>
      <c r="AK24" s="106">
        <f t="shared" si="26"/>
        <v>0.642249862278389</v>
      </c>
      <c r="AL24" s="106">
        <f t="shared" si="27"/>
        <v>0.0920833333333333</v>
      </c>
      <c r="AM24" s="106">
        <f t="shared" si="14"/>
        <v>0</v>
      </c>
      <c r="AN24" s="107">
        <f t="shared" si="28"/>
        <v>0.0920833333333333</v>
      </c>
      <c r="AO24" s="105">
        <f t="shared" si="15"/>
        <v>0.00515619215373224</v>
      </c>
      <c r="AP24" s="106">
        <f t="shared" si="16"/>
        <v>0.1512</v>
      </c>
      <c r="AQ24" s="107">
        <f t="shared" si="29"/>
        <v>0.0132</v>
      </c>
      <c r="AR24" s="105">
        <f t="shared" si="30"/>
        <v>0.238056232997922</v>
      </c>
      <c r="AS24" s="106">
        <f t="shared" si="31"/>
        <v>2.83333333333333</v>
      </c>
      <c r="AT24" s="107">
        <f t="shared" si="32"/>
        <v>92.2492335193325</v>
      </c>
    </row>
    <row r="25" spans="17:46">
      <c r="Q25">
        <v>18</v>
      </c>
      <c r="R25" s="105">
        <f t="shared" si="0"/>
        <v>10</v>
      </c>
      <c r="S25" s="106">
        <f t="shared" si="1"/>
        <v>0.3</v>
      </c>
      <c r="T25" s="106">
        <f t="shared" si="2"/>
        <v>4</v>
      </c>
      <c r="U25" s="107">
        <f t="shared" si="3"/>
        <v>0.75</v>
      </c>
      <c r="V25" s="105">
        <f t="shared" si="4"/>
        <v>2</v>
      </c>
      <c r="W25" s="106">
        <f t="shared" si="5"/>
        <v>0.714285714285714</v>
      </c>
      <c r="X25" s="107">
        <f t="shared" si="6"/>
        <v>0.285714285714286</v>
      </c>
      <c r="Y25" s="105">
        <f t="shared" si="18"/>
        <v>0.408163265306122</v>
      </c>
      <c r="Z25" s="106">
        <f t="shared" si="33"/>
        <v>1.45816326530612</v>
      </c>
      <c r="AA25" s="106">
        <f t="shared" si="19"/>
        <v>0.759198988580802</v>
      </c>
      <c r="AB25" s="106">
        <v>0</v>
      </c>
      <c r="AC25" s="106">
        <f t="shared" si="20"/>
        <v>0.00576383104262113</v>
      </c>
      <c r="AD25" s="107">
        <f t="shared" si="21"/>
        <v>0.00576383104262113</v>
      </c>
      <c r="AE25" s="105">
        <f t="shared" si="22"/>
        <v>0.160714285714286</v>
      </c>
      <c r="AF25" s="106">
        <f t="shared" si="23"/>
        <v>0.759198988580802</v>
      </c>
      <c r="AG25" s="106">
        <f t="shared" si="10"/>
        <v>0.00374649017770373</v>
      </c>
      <c r="AH25" s="106">
        <f t="shared" si="11"/>
        <v>-0.0285192184119565</v>
      </c>
      <c r="AI25" s="107">
        <f t="shared" si="24"/>
        <v>-0.0247727282342527</v>
      </c>
      <c r="AJ25" s="105">
        <f t="shared" si="25"/>
        <v>0.3</v>
      </c>
      <c r="AK25" s="106">
        <f t="shared" si="26"/>
        <v>0.673287000069675</v>
      </c>
      <c r="AL25" s="106">
        <f t="shared" si="27"/>
        <v>0.0975</v>
      </c>
      <c r="AM25" s="106">
        <f t="shared" si="14"/>
        <v>0</v>
      </c>
      <c r="AN25" s="107">
        <f t="shared" si="28"/>
        <v>0.0975</v>
      </c>
      <c r="AO25" s="105">
        <f t="shared" si="15"/>
        <v>0.00576383104262113</v>
      </c>
      <c r="AP25" s="106">
        <f t="shared" si="16"/>
        <v>0.1512</v>
      </c>
      <c r="AQ25" s="107">
        <f t="shared" si="29"/>
        <v>0.0132</v>
      </c>
      <c r="AR25" s="105">
        <f t="shared" si="30"/>
        <v>0.242891102808368</v>
      </c>
      <c r="AS25" s="106">
        <f t="shared" si="31"/>
        <v>3</v>
      </c>
      <c r="AT25" s="107">
        <f t="shared" si="32"/>
        <v>92.5100444292433</v>
      </c>
    </row>
    <row r="26" spans="17:46">
      <c r="Q26">
        <v>19</v>
      </c>
      <c r="R26" s="105">
        <f t="shared" si="0"/>
        <v>10</v>
      </c>
      <c r="S26" s="106">
        <f t="shared" si="1"/>
        <v>0.316666666666667</v>
      </c>
      <c r="T26" s="106">
        <f t="shared" si="2"/>
        <v>4</v>
      </c>
      <c r="U26" s="107">
        <f t="shared" si="3"/>
        <v>0.791666666666667</v>
      </c>
      <c r="V26" s="105">
        <f t="shared" si="4"/>
        <v>2</v>
      </c>
      <c r="W26" s="106">
        <f t="shared" si="5"/>
        <v>0.714285714285714</v>
      </c>
      <c r="X26" s="107">
        <f t="shared" si="6"/>
        <v>0.285714285714286</v>
      </c>
      <c r="Y26" s="105">
        <f t="shared" si="18"/>
        <v>0.408163265306122</v>
      </c>
      <c r="Z26" s="106">
        <f t="shared" si="33"/>
        <v>1.51649659863946</v>
      </c>
      <c r="AA26" s="106">
        <f t="shared" si="19"/>
        <v>0.80038691604325</v>
      </c>
      <c r="AB26" s="106">
        <v>0</v>
      </c>
      <c r="AC26" s="106">
        <f t="shared" si="20"/>
        <v>0.00640619215373224</v>
      </c>
      <c r="AD26" s="107">
        <f t="shared" si="21"/>
        <v>0.00640619215373224</v>
      </c>
      <c r="AE26" s="105">
        <f t="shared" si="22"/>
        <v>0.17906746031746</v>
      </c>
      <c r="AF26" s="106">
        <f t="shared" si="23"/>
        <v>0.80038691604325</v>
      </c>
      <c r="AG26" s="106">
        <f t="shared" si="10"/>
        <v>0.00416402489992596</v>
      </c>
      <c r="AH26" s="106">
        <f t="shared" si="11"/>
        <v>-0.0301036194348429</v>
      </c>
      <c r="AI26" s="107">
        <f t="shared" si="24"/>
        <v>-0.025939594534917</v>
      </c>
      <c r="AJ26" s="105">
        <f t="shared" si="25"/>
        <v>0.316666666666667</v>
      </c>
      <c r="AK26" s="106">
        <f t="shared" si="26"/>
        <v>0.704336799956868</v>
      </c>
      <c r="AL26" s="106">
        <f t="shared" si="27"/>
        <v>0.102916666666667</v>
      </c>
      <c r="AM26" s="106">
        <f t="shared" si="14"/>
        <v>0</v>
      </c>
      <c r="AN26" s="107">
        <f t="shared" si="28"/>
        <v>0.102916666666667</v>
      </c>
      <c r="AO26" s="105">
        <f t="shared" si="15"/>
        <v>0.00640619215373224</v>
      </c>
      <c r="AP26" s="106">
        <f t="shared" si="16"/>
        <v>0.1512</v>
      </c>
      <c r="AQ26" s="107">
        <f t="shared" si="29"/>
        <v>0.0132</v>
      </c>
      <c r="AR26" s="105">
        <f t="shared" si="30"/>
        <v>0.247783264285482</v>
      </c>
      <c r="AS26" s="106">
        <f t="shared" si="31"/>
        <v>3.16666666666667</v>
      </c>
      <c r="AT26" s="107">
        <f t="shared" si="32"/>
        <v>92.7430986162862</v>
      </c>
    </row>
    <row r="27" spans="17:46">
      <c r="Q27">
        <v>20</v>
      </c>
      <c r="R27" s="105">
        <f t="shared" si="0"/>
        <v>10</v>
      </c>
      <c r="S27" s="106">
        <f t="shared" si="1"/>
        <v>0.333333333333333</v>
      </c>
      <c r="T27" s="106">
        <f t="shared" si="2"/>
        <v>4</v>
      </c>
      <c r="U27" s="107">
        <f t="shared" si="3"/>
        <v>0.833333333333333</v>
      </c>
      <c r="V27" s="105">
        <f t="shared" si="4"/>
        <v>2</v>
      </c>
      <c r="W27" s="106">
        <f t="shared" si="5"/>
        <v>0.714285714285714</v>
      </c>
      <c r="X27" s="107">
        <f t="shared" si="6"/>
        <v>0.285714285714286</v>
      </c>
      <c r="Y27" s="105">
        <f t="shared" si="18"/>
        <v>0.408163265306122</v>
      </c>
      <c r="Z27" s="106">
        <f t="shared" si="33"/>
        <v>1.57482993197279</v>
      </c>
      <c r="AA27" s="106">
        <f t="shared" si="19"/>
        <v>0.841621974942763</v>
      </c>
      <c r="AB27" s="106">
        <v>0</v>
      </c>
      <c r="AC27" s="106">
        <f t="shared" si="20"/>
        <v>0.00708327548706557</v>
      </c>
      <c r="AD27" s="107">
        <f t="shared" si="21"/>
        <v>0.00708327548706557</v>
      </c>
      <c r="AE27" s="105">
        <f t="shared" si="22"/>
        <v>0.198412698412698</v>
      </c>
      <c r="AF27" s="106">
        <f t="shared" si="23"/>
        <v>0.841621974942763</v>
      </c>
      <c r="AG27" s="106">
        <f t="shared" si="10"/>
        <v>0.00460412906659262</v>
      </c>
      <c r="AH27" s="106">
        <f t="shared" si="11"/>
        <v>-0.0316880204577294</v>
      </c>
      <c r="AI27" s="107">
        <f t="shared" si="24"/>
        <v>-0.0270838913911368</v>
      </c>
      <c r="AJ27" s="105">
        <f t="shared" si="25"/>
        <v>0.333333333333333</v>
      </c>
      <c r="AK27" s="106">
        <f t="shared" si="26"/>
        <v>0.735397658092941</v>
      </c>
      <c r="AL27" s="106">
        <f t="shared" si="27"/>
        <v>0.108333333333333</v>
      </c>
      <c r="AM27" s="106">
        <f t="shared" si="14"/>
        <v>0</v>
      </c>
      <c r="AN27" s="107">
        <f t="shared" si="28"/>
        <v>0.108333333333333</v>
      </c>
      <c r="AO27" s="105">
        <f t="shared" si="15"/>
        <v>0.00708327548706557</v>
      </c>
      <c r="AP27" s="106">
        <f t="shared" si="16"/>
        <v>0.1512</v>
      </c>
      <c r="AQ27" s="107">
        <f t="shared" si="29"/>
        <v>0.0132</v>
      </c>
      <c r="AR27" s="105">
        <f t="shared" si="30"/>
        <v>0.252732717429262</v>
      </c>
      <c r="AS27" s="106">
        <f t="shared" si="31"/>
        <v>3.33333333333333</v>
      </c>
      <c r="AT27" s="107">
        <f t="shared" si="32"/>
        <v>92.9523685885396</v>
      </c>
    </row>
    <row r="28" spans="17:46">
      <c r="Q28">
        <v>21</v>
      </c>
      <c r="R28" s="105">
        <f t="shared" si="0"/>
        <v>10</v>
      </c>
      <c r="S28" s="106">
        <f t="shared" si="1"/>
        <v>0.35</v>
      </c>
      <c r="T28" s="106">
        <f t="shared" si="2"/>
        <v>4</v>
      </c>
      <c r="U28" s="107">
        <f t="shared" si="3"/>
        <v>0.875</v>
      </c>
      <c r="V28" s="105">
        <f t="shared" si="4"/>
        <v>2</v>
      </c>
      <c r="W28" s="106">
        <f t="shared" si="5"/>
        <v>0.714285714285714</v>
      </c>
      <c r="X28" s="107">
        <f t="shared" si="6"/>
        <v>0.285714285714286</v>
      </c>
      <c r="Y28" s="105">
        <f t="shared" si="18"/>
        <v>0.408163265306122</v>
      </c>
      <c r="Z28" s="106">
        <f t="shared" si="33"/>
        <v>1.63316326530612</v>
      </c>
      <c r="AA28" s="106">
        <f t="shared" si="19"/>
        <v>0.882897561590309</v>
      </c>
      <c r="AB28" s="106">
        <v>0</v>
      </c>
      <c r="AC28" s="106">
        <f t="shared" si="20"/>
        <v>0.00779508104262113</v>
      </c>
      <c r="AD28" s="107">
        <f t="shared" si="21"/>
        <v>0.00779508104262113</v>
      </c>
      <c r="AE28" s="105">
        <f t="shared" si="22"/>
        <v>0.21875</v>
      </c>
      <c r="AF28" s="106">
        <f t="shared" si="23"/>
        <v>0.882897561590309</v>
      </c>
      <c r="AG28" s="106">
        <f t="shared" si="10"/>
        <v>0.00506680267770373</v>
      </c>
      <c r="AH28" s="106">
        <f t="shared" si="11"/>
        <v>-0.0332724214806159</v>
      </c>
      <c r="AI28" s="107">
        <f t="shared" si="24"/>
        <v>-0.0282056188029121</v>
      </c>
      <c r="AJ28" s="105">
        <f t="shared" si="25"/>
        <v>0.35</v>
      </c>
      <c r="AK28" s="106">
        <f t="shared" si="26"/>
        <v>0.766468230084019</v>
      </c>
      <c r="AL28" s="106">
        <f t="shared" si="27"/>
        <v>0.11375</v>
      </c>
      <c r="AM28" s="106">
        <f t="shared" si="14"/>
        <v>0</v>
      </c>
      <c r="AN28" s="107">
        <f t="shared" si="28"/>
        <v>0.11375</v>
      </c>
      <c r="AO28" s="105">
        <f t="shared" si="15"/>
        <v>0.00779508104262113</v>
      </c>
      <c r="AP28" s="106">
        <f t="shared" si="16"/>
        <v>0.1512</v>
      </c>
      <c r="AQ28" s="107">
        <f t="shared" si="29"/>
        <v>0.0132</v>
      </c>
      <c r="AR28" s="105">
        <f t="shared" si="30"/>
        <v>0.257739462239709</v>
      </c>
      <c r="AS28" s="106">
        <f t="shared" si="31"/>
        <v>3.5</v>
      </c>
      <c r="AT28" s="107">
        <f t="shared" si="32"/>
        <v>93.1411034524972</v>
      </c>
    </row>
    <row r="29" spans="17:46">
      <c r="Q29">
        <v>22</v>
      </c>
      <c r="R29" s="105">
        <f t="shared" si="0"/>
        <v>10</v>
      </c>
      <c r="S29" s="106">
        <f t="shared" si="1"/>
        <v>0.366666666666667</v>
      </c>
      <c r="T29" s="106">
        <f t="shared" si="2"/>
        <v>4</v>
      </c>
      <c r="U29" s="107">
        <f t="shared" si="3"/>
        <v>0.916666666666667</v>
      </c>
      <c r="V29" s="105">
        <f t="shared" si="4"/>
        <v>2</v>
      </c>
      <c r="W29" s="106">
        <f t="shared" si="5"/>
        <v>0.714285714285714</v>
      </c>
      <c r="X29" s="107">
        <f t="shared" si="6"/>
        <v>0.285714285714286</v>
      </c>
      <c r="Y29" s="105">
        <f t="shared" si="18"/>
        <v>0.408163265306122</v>
      </c>
      <c r="Z29" s="106">
        <f t="shared" si="33"/>
        <v>1.69149659863946</v>
      </c>
      <c r="AA29" s="106">
        <f t="shared" si="19"/>
        <v>0.924208246035433</v>
      </c>
      <c r="AB29" s="106">
        <v>0</v>
      </c>
      <c r="AC29" s="106">
        <f t="shared" si="20"/>
        <v>0.00854160882039891</v>
      </c>
      <c r="AD29" s="107">
        <f t="shared" si="21"/>
        <v>0.00854160882039891</v>
      </c>
      <c r="AE29" s="105">
        <f t="shared" si="22"/>
        <v>0.240079365079365</v>
      </c>
      <c r="AF29" s="106">
        <f t="shared" si="23"/>
        <v>0.924208246035433</v>
      </c>
      <c r="AG29" s="106">
        <f t="shared" si="10"/>
        <v>0.00555204573325929</v>
      </c>
      <c r="AH29" s="106">
        <f t="shared" si="11"/>
        <v>-0.0348568225035024</v>
      </c>
      <c r="AI29" s="107">
        <f t="shared" si="24"/>
        <v>-0.0293047767702431</v>
      </c>
      <c r="AJ29" s="105">
        <f t="shared" si="25"/>
        <v>0.366666666666667</v>
      </c>
      <c r="AK29" s="106">
        <f t="shared" si="26"/>
        <v>0.797547380644009</v>
      </c>
      <c r="AL29" s="106">
        <f t="shared" si="27"/>
        <v>0.119166666666667</v>
      </c>
      <c r="AM29" s="106">
        <f t="shared" si="14"/>
        <v>0</v>
      </c>
      <c r="AN29" s="107">
        <f t="shared" si="28"/>
        <v>0.119166666666667</v>
      </c>
      <c r="AO29" s="105">
        <f t="shared" si="15"/>
        <v>0.00854160882039891</v>
      </c>
      <c r="AP29" s="106">
        <f t="shared" si="16"/>
        <v>0.1512</v>
      </c>
      <c r="AQ29" s="107">
        <f t="shared" si="29"/>
        <v>0.0132</v>
      </c>
      <c r="AR29" s="105">
        <f t="shared" si="30"/>
        <v>0.262803498716823</v>
      </c>
      <c r="AS29" s="106">
        <f t="shared" si="31"/>
        <v>3.66666666666667</v>
      </c>
      <c r="AT29" s="107">
        <f t="shared" si="32"/>
        <v>93.3119864089571</v>
      </c>
    </row>
    <row r="30" spans="17:46">
      <c r="Q30">
        <v>23</v>
      </c>
      <c r="R30" s="105">
        <f t="shared" si="0"/>
        <v>10</v>
      </c>
      <c r="S30" s="106">
        <f t="shared" si="1"/>
        <v>0.383333333333333</v>
      </c>
      <c r="T30" s="106">
        <f t="shared" si="2"/>
        <v>4</v>
      </c>
      <c r="U30" s="107">
        <f t="shared" si="3"/>
        <v>0.958333333333333</v>
      </c>
      <c r="V30" s="105">
        <f t="shared" si="4"/>
        <v>2</v>
      </c>
      <c r="W30" s="106">
        <f t="shared" si="5"/>
        <v>0.714285714285714</v>
      </c>
      <c r="X30" s="107">
        <f t="shared" si="6"/>
        <v>0.285714285714286</v>
      </c>
      <c r="Y30" s="105">
        <f t="shared" si="18"/>
        <v>0.408163265306122</v>
      </c>
      <c r="Z30" s="106">
        <f t="shared" si="33"/>
        <v>1.74982993197279</v>
      </c>
      <c r="AA30" s="106">
        <f t="shared" si="19"/>
        <v>0.965549523349212</v>
      </c>
      <c r="AB30" s="106">
        <v>0</v>
      </c>
      <c r="AC30" s="106">
        <f t="shared" si="20"/>
        <v>0.00932285882039891</v>
      </c>
      <c r="AD30" s="107">
        <f t="shared" si="21"/>
        <v>0.00932285882039891</v>
      </c>
      <c r="AE30" s="105">
        <f t="shared" si="22"/>
        <v>0.262400793650794</v>
      </c>
      <c r="AF30" s="106">
        <f t="shared" si="23"/>
        <v>0.965549523349212</v>
      </c>
      <c r="AG30" s="106">
        <f t="shared" si="10"/>
        <v>0.00605985823325929</v>
      </c>
      <c r="AH30" s="106">
        <f t="shared" si="11"/>
        <v>-0.0364412235263888</v>
      </c>
      <c r="AI30" s="107">
        <f t="shared" si="24"/>
        <v>-0.0303813652931295</v>
      </c>
      <c r="AJ30" s="105">
        <f t="shared" si="25"/>
        <v>0.383333333333333</v>
      </c>
      <c r="AK30" s="106">
        <f t="shared" si="26"/>
        <v>0.828634144517685</v>
      </c>
      <c r="AL30" s="106">
        <f t="shared" si="27"/>
        <v>0.124583333333333</v>
      </c>
      <c r="AM30" s="106">
        <f t="shared" si="14"/>
        <v>0</v>
      </c>
      <c r="AN30" s="107">
        <f t="shared" si="28"/>
        <v>0.124583333333333</v>
      </c>
      <c r="AO30" s="105">
        <f t="shared" si="15"/>
        <v>0.00932285882039891</v>
      </c>
      <c r="AP30" s="106">
        <f t="shared" si="16"/>
        <v>0.1512</v>
      </c>
      <c r="AQ30" s="107">
        <f t="shared" si="29"/>
        <v>0.0132</v>
      </c>
      <c r="AR30" s="105">
        <f t="shared" si="30"/>
        <v>0.267924826860603</v>
      </c>
      <c r="AS30" s="106">
        <f t="shared" si="31"/>
        <v>3.83333333333333</v>
      </c>
      <c r="AT30" s="107">
        <f t="shared" si="32"/>
        <v>93.4672528186342</v>
      </c>
    </row>
    <row r="31" spans="17:46">
      <c r="Q31">
        <v>24</v>
      </c>
      <c r="R31" s="105">
        <f t="shared" si="0"/>
        <v>10</v>
      </c>
      <c r="S31" s="106">
        <f t="shared" si="1"/>
        <v>0.4</v>
      </c>
      <c r="T31" s="106">
        <f t="shared" si="2"/>
        <v>4</v>
      </c>
      <c r="U31" s="107">
        <f t="shared" si="3"/>
        <v>1</v>
      </c>
      <c r="V31" s="105">
        <f t="shared" si="4"/>
        <v>2</v>
      </c>
      <c r="W31" s="106">
        <f t="shared" si="5"/>
        <v>0.714285714285714</v>
      </c>
      <c r="X31" s="107">
        <f t="shared" si="6"/>
        <v>0.285714285714286</v>
      </c>
      <c r="Y31" s="105">
        <f t="shared" si="18"/>
        <v>0.408163265306122</v>
      </c>
      <c r="Z31" s="106">
        <f t="shared" si="33"/>
        <v>1.80816326530612</v>
      </c>
      <c r="AA31" s="106">
        <f t="shared" si="19"/>
        <v>1.00691762536074</v>
      </c>
      <c r="AB31" s="106">
        <v>0</v>
      </c>
      <c r="AC31" s="106">
        <f t="shared" si="20"/>
        <v>0.0101388310426211</v>
      </c>
      <c r="AD31" s="107">
        <f t="shared" si="21"/>
        <v>0.0101388310426211</v>
      </c>
      <c r="AE31" s="105">
        <f t="shared" si="22"/>
        <v>0.285714285714286</v>
      </c>
      <c r="AF31" s="106">
        <f t="shared" si="23"/>
        <v>1.00691762536074</v>
      </c>
      <c r="AG31" s="106">
        <f t="shared" si="10"/>
        <v>0.00659024017770374</v>
      </c>
      <c r="AH31" s="106">
        <f t="shared" si="11"/>
        <v>-0.0380256245492753</v>
      </c>
      <c r="AI31" s="107">
        <f t="shared" si="24"/>
        <v>-0.0314353843715715</v>
      </c>
      <c r="AJ31" s="105">
        <f t="shared" si="25"/>
        <v>0.4</v>
      </c>
      <c r="AK31" s="106">
        <f t="shared" si="26"/>
        <v>0.859727695839465</v>
      </c>
      <c r="AL31" s="106">
        <f t="shared" si="27"/>
        <v>0.13</v>
      </c>
      <c r="AM31" s="106">
        <f t="shared" si="14"/>
        <v>0</v>
      </c>
      <c r="AN31" s="107">
        <f t="shared" si="28"/>
        <v>0.13</v>
      </c>
      <c r="AO31" s="105">
        <f t="shared" si="15"/>
        <v>0.0101388310426211</v>
      </c>
      <c r="AP31" s="106">
        <f t="shared" si="16"/>
        <v>0.1512</v>
      </c>
      <c r="AQ31" s="107">
        <f t="shared" si="29"/>
        <v>0.0132</v>
      </c>
      <c r="AR31" s="105">
        <f t="shared" si="30"/>
        <v>0.27310344667105</v>
      </c>
      <c r="AS31" s="106">
        <f t="shared" si="31"/>
        <v>4</v>
      </c>
      <c r="AT31" s="107">
        <f t="shared" si="32"/>
        <v>93.6087798931287</v>
      </c>
    </row>
    <row r="32" spans="17:46">
      <c r="Q32">
        <v>25</v>
      </c>
      <c r="R32" s="105">
        <f t="shared" si="0"/>
        <v>10</v>
      </c>
      <c r="S32" s="106">
        <f t="shared" si="1"/>
        <v>0.416666666666667</v>
      </c>
      <c r="T32" s="106">
        <f t="shared" si="2"/>
        <v>4</v>
      </c>
      <c r="U32" s="107">
        <f t="shared" si="3"/>
        <v>1.04166666666667</v>
      </c>
      <c r="V32" s="105">
        <f t="shared" si="4"/>
        <v>2</v>
      </c>
      <c r="W32" s="106">
        <f t="shared" si="5"/>
        <v>0.714285714285714</v>
      </c>
      <c r="X32" s="107">
        <f t="shared" si="6"/>
        <v>0.285714285714286</v>
      </c>
      <c r="Y32" s="105">
        <f t="shared" si="18"/>
        <v>0.408163265306122</v>
      </c>
      <c r="Z32" s="106">
        <f t="shared" si="33"/>
        <v>1.86649659863946</v>
      </c>
      <c r="AA32" s="106">
        <f t="shared" si="19"/>
        <v>1.04830937642785</v>
      </c>
      <c r="AB32" s="106">
        <v>0</v>
      </c>
      <c r="AC32" s="106">
        <f t="shared" si="20"/>
        <v>0.0109895254870656</v>
      </c>
      <c r="AD32" s="107">
        <f t="shared" si="21"/>
        <v>0.0109895254870656</v>
      </c>
      <c r="AE32" s="105">
        <f t="shared" si="22"/>
        <v>0.310019841269841</v>
      </c>
      <c r="AF32" s="106">
        <f t="shared" si="23"/>
        <v>1.04830937642785</v>
      </c>
      <c r="AG32" s="106">
        <f t="shared" si="10"/>
        <v>0.00714319156659263</v>
      </c>
      <c r="AH32" s="106">
        <f t="shared" si="11"/>
        <v>-0.0396100255721618</v>
      </c>
      <c r="AI32" s="107">
        <f t="shared" si="24"/>
        <v>-0.0324668340055691</v>
      </c>
      <c r="AJ32" s="105">
        <f t="shared" si="25"/>
        <v>0.416666666666667</v>
      </c>
      <c r="AK32" s="106">
        <f t="shared" si="26"/>
        <v>0.890827323879751</v>
      </c>
      <c r="AL32" s="106">
        <f t="shared" si="27"/>
        <v>0.135416666666667</v>
      </c>
      <c r="AM32" s="106">
        <f t="shared" si="14"/>
        <v>0</v>
      </c>
      <c r="AN32" s="107">
        <f t="shared" si="28"/>
        <v>0.135416666666667</v>
      </c>
      <c r="AO32" s="105">
        <f t="shared" si="15"/>
        <v>0.0109895254870656</v>
      </c>
      <c r="AP32" s="106">
        <f t="shared" si="16"/>
        <v>0.1512</v>
      </c>
      <c r="AQ32" s="107">
        <f t="shared" si="29"/>
        <v>0.0132</v>
      </c>
      <c r="AR32" s="105">
        <f t="shared" si="30"/>
        <v>0.278339358148163</v>
      </c>
      <c r="AS32" s="106">
        <f t="shared" si="31"/>
        <v>4.16666666666667</v>
      </c>
      <c r="AT32" s="107">
        <f t="shared" si="32"/>
        <v>93.7381556606606</v>
      </c>
    </row>
    <row r="33" spans="17:46">
      <c r="Q33">
        <v>26</v>
      </c>
      <c r="R33" s="105">
        <f t="shared" si="0"/>
        <v>10</v>
      </c>
      <c r="S33" s="106">
        <f t="shared" si="1"/>
        <v>0.433333333333333</v>
      </c>
      <c r="T33" s="106">
        <f t="shared" si="2"/>
        <v>4</v>
      </c>
      <c r="U33" s="107">
        <f t="shared" si="3"/>
        <v>1.08333333333333</v>
      </c>
      <c r="V33" s="105">
        <f t="shared" si="4"/>
        <v>2</v>
      </c>
      <c r="W33" s="106">
        <f t="shared" si="5"/>
        <v>0.714285714285714</v>
      </c>
      <c r="X33" s="107">
        <f t="shared" si="6"/>
        <v>0.285714285714286</v>
      </c>
      <c r="Y33" s="105">
        <f t="shared" si="18"/>
        <v>0.408163265306122</v>
      </c>
      <c r="Z33" s="106">
        <f t="shared" si="33"/>
        <v>1.92482993197279</v>
      </c>
      <c r="AA33" s="106">
        <f t="shared" si="19"/>
        <v>1.08972208171314</v>
      </c>
      <c r="AB33" s="106">
        <v>0</v>
      </c>
      <c r="AC33" s="106">
        <f t="shared" si="20"/>
        <v>0.0118749421537322</v>
      </c>
      <c r="AD33" s="107">
        <f t="shared" si="21"/>
        <v>0.0118749421537322</v>
      </c>
      <c r="AE33" s="105">
        <f t="shared" si="22"/>
        <v>0.33531746031746</v>
      </c>
      <c r="AF33" s="106">
        <f t="shared" si="23"/>
        <v>1.08972208171314</v>
      </c>
      <c r="AG33" s="106">
        <f t="shared" si="10"/>
        <v>0.00771871239992596</v>
      </c>
      <c r="AH33" s="106">
        <f t="shared" si="11"/>
        <v>-0.0411944265950482</v>
      </c>
      <c r="AI33" s="107">
        <f t="shared" si="24"/>
        <v>-0.0334757141951223</v>
      </c>
      <c r="AJ33" s="105">
        <f t="shared" si="25"/>
        <v>0.433333333333333</v>
      </c>
      <c r="AK33" s="106">
        <f t="shared" si="26"/>
        <v>0.921932413679294</v>
      </c>
      <c r="AL33" s="106">
        <f t="shared" si="27"/>
        <v>0.140833333333333</v>
      </c>
      <c r="AM33" s="106">
        <f t="shared" si="14"/>
        <v>0</v>
      </c>
      <c r="AN33" s="107">
        <f t="shared" si="28"/>
        <v>0.140833333333333</v>
      </c>
      <c r="AO33" s="105">
        <f t="shared" si="15"/>
        <v>0.0118749421537322</v>
      </c>
      <c r="AP33" s="106">
        <f t="shared" si="16"/>
        <v>0.1512</v>
      </c>
      <c r="AQ33" s="107">
        <f t="shared" si="29"/>
        <v>0.0132</v>
      </c>
      <c r="AR33" s="105">
        <f t="shared" si="30"/>
        <v>0.283632561291943</v>
      </c>
      <c r="AS33" s="106">
        <f t="shared" si="31"/>
        <v>4.33333333333333</v>
      </c>
      <c r="AT33" s="107">
        <f t="shared" si="32"/>
        <v>93.8567325866079</v>
      </c>
    </row>
    <row r="34" spans="17:46">
      <c r="Q34">
        <v>27</v>
      </c>
      <c r="R34" s="105">
        <f t="shared" si="0"/>
        <v>10</v>
      </c>
      <c r="S34" s="106">
        <f t="shared" si="1"/>
        <v>0.45</v>
      </c>
      <c r="T34" s="106">
        <f t="shared" si="2"/>
        <v>4</v>
      </c>
      <c r="U34" s="107">
        <f t="shared" si="3"/>
        <v>1.125</v>
      </c>
      <c r="V34" s="105">
        <f t="shared" si="4"/>
        <v>2</v>
      </c>
      <c r="W34" s="106">
        <f t="shared" si="5"/>
        <v>0.714285714285714</v>
      </c>
      <c r="X34" s="107">
        <f t="shared" si="6"/>
        <v>0.285714285714286</v>
      </c>
      <c r="Y34" s="105">
        <f t="shared" si="18"/>
        <v>0.408163265306122</v>
      </c>
      <c r="Z34" s="106">
        <f t="shared" si="33"/>
        <v>1.98316326530612</v>
      </c>
      <c r="AA34" s="106">
        <f t="shared" si="19"/>
        <v>1.1311534397517</v>
      </c>
      <c r="AB34" s="106">
        <v>0</v>
      </c>
      <c r="AC34" s="106">
        <f t="shared" si="20"/>
        <v>0.0127950810426211</v>
      </c>
      <c r="AD34" s="107">
        <f t="shared" si="21"/>
        <v>0.0127950810426211</v>
      </c>
      <c r="AE34" s="105">
        <f t="shared" si="22"/>
        <v>0.361607142857143</v>
      </c>
      <c r="AF34" s="106">
        <f t="shared" si="23"/>
        <v>1.1311534397517</v>
      </c>
      <c r="AG34" s="106">
        <f t="shared" si="10"/>
        <v>0.00831680267770373</v>
      </c>
      <c r="AH34" s="106">
        <f t="shared" si="11"/>
        <v>-0.0427788276179347</v>
      </c>
      <c r="AI34" s="107">
        <f t="shared" si="24"/>
        <v>-0.034462024940231</v>
      </c>
      <c r="AJ34" s="105">
        <f t="shared" si="25"/>
        <v>0.45</v>
      </c>
      <c r="AK34" s="106">
        <f t="shared" si="26"/>
        <v>0.953042430460859</v>
      </c>
      <c r="AL34" s="106">
        <f t="shared" si="27"/>
        <v>0.14625</v>
      </c>
      <c r="AM34" s="106">
        <f t="shared" si="14"/>
        <v>0</v>
      </c>
      <c r="AN34" s="107">
        <f t="shared" si="28"/>
        <v>0.14625</v>
      </c>
      <c r="AO34" s="105">
        <f t="shared" si="15"/>
        <v>0.0127950810426211</v>
      </c>
      <c r="AP34" s="106">
        <f t="shared" si="16"/>
        <v>0.1512</v>
      </c>
      <c r="AQ34" s="107">
        <f t="shared" si="29"/>
        <v>0.0132</v>
      </c>
      <c r="AR34" s="105">
        <f t="shared" si="30"/>
        <v>0.28898305610239</v>
      </c>
      <c r="AS34" s="106">
        <f t="shared" si="31"/>
        <v>4.5</v>
      </c>
      <c r="AT34" s="107">
        <f t="shared" si="32"/>
        <v>93.9656696898488</v>
      </c>
    </row>
    <row r="35" spans="17:46">
      <c r="Q35">
        <v>28</v>
      </c>
      <c r="R35" s="105">
        <f t="shared" si="0"/>
        <v>10</v>
      </c>
      <c r="S35" s="106">
        <f t="shared" si="1"/>
        <v>0.466666666666667</v>
      </c>
      <c r="T35" s="106">
        <f t="shared" si="2"/>
        <v>4</v>
      </c>
      <c r="U35" s="107">
        <f t="shared" si="3"/>
        <v>1.16666666666667</v>
      </c>
      <c r="V35" s="105">
        <f t="shared" si="4"/>
        <v>2</v>
      </c>
      <c r="W35" s="106">
        <f t="shared" si="5"/>
        <v>0.714285714285714</v>
      </c>
      <c r="X35" s="107">
        <f t="shared" si="6"/>
        <v>0.285714285714286</v>
      </c>
      <c r="Y35" s="105">
        <f t="shared" si="18"/>
        <v>0.408163265306122</v>
      </c>
      <c r="Z35" s="106">
        <f t="shared" si="33"/>
        <v>2.04149659863946</v>
      </c>
      <c r="AA35" s="106">
        <f t="shared" si="19"/>
        <v>1.17260147338012</v>
      </c>
      <c r="AB35" s="106">
        <v>0</v>
      </c>
      <c r="AC35" s="106">
        <f t="shared" si="20"/>
        <v>0.0137499421537322</v>
      </c>
      <c r="AD35" s="107">
        <f t="shared" si="21"/>
        <v>0.0137499421537322</v>
      </c>
      <c r="AE35" s="105">
        <f t="shared" si="22"/>
        <v>0.388888888888889</v>
      </c>
      <c r="AF35" s="106">
        <f t="shared" si="23"/>
        <v>1.17260147338012</v>
      </c>
      <c r="AG35" s="106">
        <f t="shared" si="10"/>
        <v>0.00893746239992596</v>
      </c>
      <c r="AH35" s="106">
        <f t="shared" si="11"/>
        <v>-0.0443632286408212</v>
      </c>
      <c r="AI35" s="107">
        <f t="shared" si="24"/>
        <v>-0.0354257662408952</v>
      </c>
      <c r="AJ35" s="105">
        <f t="shared" si="25"/>
        <v>0.466666666666667</v>
      </c>
      <c r="AK35" s="106">
        <f t="shared" si="26"/>
        <v>0.984156906986584</v>
      </c>
      <c r="AL35" s="106">
        <f t="shared" si="27"/>
        <v>0.151666666666667</v>
      </c>
      <c r="AM35" s="106">
        <f t="shared" si="14"/>
        <v>0</v>
      </c>
      <c r="AN35" s="107">
        <f t="shared" si="28"/>
        <v>0.151666666666667</v>
      </c>
      <c r="AO35" s="105">
        <f t="shared" si="15"/>
        <v>0.0137499421537322</v>
      </c>
      <c r="AP35" s="106">
        <f t="shared" si="16"/>
        <v>0.1512</v>
      </c>
      <c r="AQ35" s="107">
        <f t="shared" si="29"/>
        <v>0.0132</v>
      </c>
      <c r="AR35" s="105">
        <f t="shared" si="30"/>
        <v>0.294390842579504</v>
      </c>
      <c r="AS35" s="106">
        <f t="shared" si="31"/>
        <v>4.66666666666667</v>
      </c>
      <c r="AT35" s="107">
        <f t="shared" si="32"/>
        <v>94.0659659350686</v>
      </c>
    </row>
    <row r="36" spans="17:46">
      <c r="Q36">
        <v>29</v>
      </c>
      <c r="R36" s="105">
        <f t="shared" si="0"/>
        <v>10</v>
      </c>
      <c r="S36" s="106">
        <f t="shared" si="1"/>
        <v>0.483333333333333</v>
      </c>
      <c r="T36" s="106">
        <f t="shared" si="2"/>
        <v>4</v>
      </c>
      <c r="U36" s="107">
        <f t="shared" si="3"/>
        <v>1.20833333333333</v>
      </c>
      <c r="V36" s="105">
        <f t="shared" si="4"/>
        <v>2</v>
      </c>
      <c r="W36" s="106">
        <f t="shared" si="5"/>
        <v>0.714285714285714</v>
      </c>
      <c r="X36" s="107">
        <f t="shared" si="6"/>
        <v>0.285714285714286</v>
      </c>
      <c r="Y36" s="105">
        <f t="shared" si="18"/>
        <v>0.408163265306122</v>
      </c>
      <c r="Z36" s="106">
        <f t="shared" si="33"/>
        <v>2.09982993197279</v>
      </c>
      <c r="AA36" s="106">
        <f t="shared" si="19"/>
        <v>1.21406447469093</v>
      </c>
      <c r="AB36" s="106">
        <v>0</v>
      </c>
      <c r="AC36" s="106">
        <f t="shared" si="20"/>
        <v>0.0147395254870656</v>
      </c>
      <c r="AD36" s="107">
        <f t="shared" si="21"/>
        <v>0.0147395254870656</v>
      </c>
      <c r="AE36" s="105">
        <f t="shared" si="22"/>
        <v>0.417162698412698</v>
      </c>
      <c r="AF36" s="106">
        <f t="shared" si="23"/>
        <v>1.21406447469093</v>
      </c>
      <c r="AG36" s="106">
        <f t="shared" si="10"/>
        <v>0.00958069156659262</v>
      </c>
      <c r="AH36" s="106">
        <f t="shared" si="11"/>
        <v>-0.0459476296637076</v>
      </c>
      <c r="AI36" s="107">
        <f t="shared" si="24"/>
        <v>-0.036366938097115</v>
      </c>
      <c r="AJ36" s="105">
        <f t="shared" si="25"/>
        <v>0.483333333333333</v>
      </c>
      <c r="AK36" s="106">
        <f t="shared" si="26"/>
        <v>1.01527543323204</v>
      </c>
      <c r="AL36" s="106">
        <f t="shared" si="27"/>
        <v>0.157083333333333</v>
      </c>
      <c r="AM36" s="106">
        <f t="shared" si="14"/>
        <v>0</v>
      </c>
      <c r="AN36" s="107">
        <f t="shared" si="28"/>
        <v>0.157083333333333</v>
      </c>
      <c r="AO36" s="105">
        <f t="shared" si="15"/>
        <v>0.0147395254870656</v>
      </c>
      <c r="AP36" s="106">
        <f t="shared" si="16"/>
        <v>0.1512</v>
      </c>
      <c r="AQ36" s="107">
        <f t="shared" si="29"/>
        <v>0.0132</v>
      </c>
      <c r="AR36" s="105">
        <f t="shared" si="30"/>
        <v>0.299855920723284</v>
      </c>
      <c r="AS36" s="106">
        <f t="shared" si="31"/>
        <v>4.83333333333333</v>
      </c>
      <c r="AT36" s="107">
        <f t="shared" si="32"/>
        <v>94.1584869389665</v>
      </c>
    </row>
    <row r="37" spans="17:46">
      <c r="Q37">
        <v>30</v>
      </c>
      <c r="R37" s="105">
        <f t="shared" si="0"/>
        <v>10</v>
      </c>
      <c r="S37" s="106">
        <f t="shared" si="1"/>
        <v>0.5</v>
      </c>
      <c r="T37" s="106">
        <f t="shared" si="2"/>
        <v>4</v>
      </c>
      <c r="U37" s="107">
        <f t="shared" si="3"/>
        <v>1.25</v>
      </c>
      <c r="V37" s="105">
        <f t="shared" si="4"/>
        <v>2</v>
      </c>
      <c r="W37" s="106">
        <f t="shared" si="5"/>
        <v>0.714285714285714</v>
      </c>
      <c r="X37" s="107">
        <f t="shared" si="6"/>
        <v>0.285714285714286</v>
      </c>
      <c r="Y37" s="105">
        <f t="shared" si="18"/>
        <v>0.408163265306122</v>
      </c>
      <c r="Z37" s="106">
        <f t="shared" si="33"/>
        <v>2.15816326530612</v>
      </c>
      <c r="AA37" s="106">
        <f t="shared" si="19"/>
        <v>1.25554096080618</v>
      </c>
      <c r="AB37" s="106">
        <v>0</v>
      </c>
      <c r="AC37" s="106">
        <f t="shared" si="20"/>
        <v>0.0157638310426211</v>
      </c>
      <c r="AD37" s="107">
        <f t="shared" si="21"/>
        <v>0.0157638310426211</v>
      </c>
      <c r="AE37" s="105">
        <f t="shared" si="22"/>
        <v>0.446428571428571</v>
      </c>
      <c r="AF37" s="106">
        <f t="shared" si="23"/>
        <v>1.25554096080618</v>
      </c>
      <c r="AG37" s="106">
        <f t="shared" si="10"/>
        <v>0.0102464901777037</v>
      </c>
      <c r="AH37" s="106">
        <f t="shared" si="11"/>
        <v>-0.0475320306865941</v>
      </c>
      <c r="AI37" s="107">
        <f t="shared" si="24"/>
        <v>-0.0372855405088904</v>
      </c>
      <c r="AJ37" s="105">
        <f t="shared" si="25"/>
        <v>0.5</v>
      </c>
      <c r="AK37" s="106">
        <f t="shared" si="26"/>
        <v>1.04639764789684</v>
      </c>
      <c r="AL37" s="106">
        <f t="shared" si="27"/>
        <v>0.1625</v>
      </c>
      <c r="AM37" s="106">
        <f t="shared" si="14"/>
        <v>0</v>
      </c>
      <c r="AN37" s="107">
        <f t="shared" si="28"/>
        <v>0.1625</v>
      </c>
      <c r="AO37" s="105">
        <f t="shared" si="15"/>
        <v>0.0157638310426211</v>
      </c>
      <c r="AP37" s="106">
        <f t="shared" si="16"/>
        <v>0.1512</v>
      </c>
      <c r="AQ37" s="107">
        <f t="shared" si="29"/>
        <v>0.0132</v>
      </c>
      <c r="AR37" s="105">
        <f t="shared" si="30"/>
        <v>0.305378290533731</v>
      </c>
      <c r="AS37" s="106">
        <f t="shared" si="31"/>
        <v>5</v>
      </c>
      <c r="AT37" s="107">
        <f t="shared" si="32"/>
        <v>94.2439865017993</v>
      </c>
    </row>
    <row r="38" spans="17:46">
      <c r="Q38">
        <v>31</v>
      </c>
      <c r="R38" s="105">
        <f t="shared" si="0"/>
        <v>10</v>
      </c>
      <c r="S38" s="106">
        <f t="shared" si="1"/>
        <v>0.516666666666667</v>
      </c>
      <c r="T38" s="106">
        <f t="shared" si="2"/>
        <v>4</v>
      </c>
      <c r="U38" s="107">
        <f t="shared" si="3"/>
        <v>1.29166666666667</v>
      </c>
      <c r="V38" s="105">
        <f t="shared" si="4"/>
        <v>2</v>
      </c>
      <c r="W38" s="106">
        <f t="shared" si="5"/>
        <v>0.714285714285714</v>
      </c>
      <c r="X38" s="107">
        <f t="shared" si="6"/>
        <v>0.285714285714286</v>
      </c>
      <c r="Y38" s="105">
        <f t="shared" si="18"/>
        <v>0.408163265306122</v>
      </c>
      <c r="Z38" s="106">
        <f t="shared" si="33"/>
        <v>2.21649659863946</v>
      </c>
      <c r="AA38" s="106">
        <f t="shared" si="19"/>
        <v>1.29702963807304</v>
      </c>
      <c r="AB38" s="106">
        <v>0</v>
      </c>
      <c r="AC38" s="106">
        <f t="shared" si="20"/>
        <v>0.0168228588203989</v>
      </c>
      <c r="AD38" s="107">
        <f t="shared" si="21"/>
        <v>0.0168228588203989</v>
      </c>
      <c r="AE38" s="105">
        <f t="shared" si="22"/>
        <v>0.476686507936508</v>
      </c>
      <c r="AF38" s="106">
        <f t="shared" si="23"/>
        <v>1.29702963807304</v>
      </c>
      <c r="AG38" s="106">
        <f t="shared" si="10"/>
        <v>0.0109348582332593</v>
      </c>
      <c r="AH38" s="106">
        <f t="shared" si="11"/>
        <v>-0.0491164317094806</v>
      </c>
      <c r="AI38" s="107">
        <f t="shared" si="24"/>
        <v>-0.0381815734762213</v>
      </c>
      <c r="AJ38" s="105">
        <f t="shared" si="25"/>
        <v>0.516666666666667</v>
      </c>
      <c r="AK38" s="106">
        <f t="shared" si="26"/>
        <v>1.07752323138206</v>
      </c>
      <c r="AL38" s="106">
        <f t="shared" si="27"/>
        <v>0.167916666666667</v>
      </c>
      <c r="AM38" s="106">
        <f t="shared" si="14"/>
        <v>0</v>
      </c>
      <c r="AN38" s="107">
        <f t="shared" si="28"/>
        <v>0.167916666666667</v>
      </c>
      <c r="AO38" s="105">
        <f t="shared" si="15"/>
        <v>0.0168228588203989</v>
      </c>
      <c r="AP38" s="106">
        <f t="shared" si="16"/>
        <v>0.1512</v>
      </c>
      <c r="AQ38" s="107">
        <f t="shared" si="29"/>
        <v>0.0132</v>
      </c>
      <c r="AR38" s="105">
        <f t="shared" si="30"/>
        <v>0.310957952010844</v>
      </c>
      <c r="AS38" s="106">
        <f t="shared" si="31"/>
        <v>5.16666666666667</v>
      </c>
      <c r="AT38" s="107">
        <f t="shared" si="32"/>
        <v>94.3231240974318</v>
      </c>
    </row>
    <row r="39" spans="17:46">
      <c r="Q39">
        <v>32</v>
      </c>
      <c r="R39" s="105">
        <f t="shared" si="0"/>
        <v>10</v>
      </c>
      <c r="S39" s="106">
        <f t="shared" ref="S39:S70" si="34">Q39*$O$12</f>
        <v>0.533333333333333</v>
      </c>
      <c r="T39" s="106">
        <f t="shared" si="2"/>
        <v>4</v>
      </c>
      <c r="U39" s="107">
        <f t="shared" ref="U39:U70" si="35">(R39*S39)/(T39*EFF_est)</f>
        <v>1.33333333333333</v>
      </c>
      <c r="V39" s="105">
        <f t="shared" ref="V39:V70" si="36">IF(S39&lt;((T39^2)*R39)/(2*Fsw*Lm*((T39+R39)^2)),1,2)</f>
        <v>2</v>
      </c>
      <c r="W39" s="106">
        <f t="shared" ref="W39:W70" si="37">CHOOSE(V39,SQRT(2*Lm*R39*S39*Fsw)/T39,R39/(T39+R39))</f>
        <v>0.714285714285714</v>
      </c>
      <c r="X39" s="107">
        <f t="shared" ref="X39:X70" si="38">CHOOSE(V39,(Lm*Z39*Fsw)/(R39),1-W39)</f>
        <v>0.285714285714286</v>
      </c>
      <c r="Y39" s="105">
        <f t="shared" si="18"/>
        <v>0.408163265306122</v>
      </c>
      <c r="Z39" s="106">
        <f t="shared" si="33"/>
        <v>2.27482993197279</v>
      </c>
      <c r="AA39" s="106">
        <f t="shared" si="19"/>
        <v>1.33852937287154</v>
      </c>
      <c r="AB39" s="106">
        <v>0</v>
      </c>
      <c r="AC39" s="106">
        <f t="shared" si="20"/>
        <v>0.0179166088203989</v>
      </c>
      <c r="AD39" s="107">
        <f t="shared" si="21"/>
        <v>0.0179166088203989</v>
      </c>
      <c r="AE39" s="105">
        <f t="shared" si="22"/>
        <v>0.507936507936508</v>
      </c>
      <c r="AF39" s="106">
        <f t="shared" si="23"/>
        <v>1.33852937287154</v>
      </c>
      <c r="AG39" s="106">
        <f t="shared" ref="AG39:AG70" si="39">(AF39^2)*RDS_on</f>
        <v>0.0116457957332593</v>
      </c>
      <c r="AH39" s="106">
        <f t="shared" ref="AH39:AH70" si="40">(((R39+T39)*(U39+S39))/2)*Fsw*(tr_sw+tf_sw)</f>
        <v>-0.0507008327323671</v>
      </c>
      <c r="AI39" s="107">
        <f t="shared" si="24"/>
        <v>-0.0390550369991078</v>
      </c>
      <c r="AJ39" s="105">
        <f t="shared" si="25"/>
        <v>0.533333333333333</v>
      </c>
      <c r="AK39" s="106">
        <f t="shared" si="26"/>
        <v>1.10865189994717</v>
      </c>
      <c r="AL39" s="106">
        <f t="shared" si="27"/>
        <v>0.173333333333333</v>
      </c>
      <c r="AM39" s="106">
        <f t="shared" ref="AM39:AM70" si="41">(R39+T39+Vd_rect)*Qrr*Fsw</f>
        <v>0</v>
      </c>
      <c r="AN39" s="107">
        <f t="shared" si="28"/>
        <v>0.173333333333333</v>
      </c>
      <c r="AO39" s="105">
        <f t="shared" ref="AO39:AO70" si="42">(AF39^2)*R_cs</f>
        <v>0.0179166088203989</v>
      </c>
      <c r="AP39" s="106">
        <f t="shared" si="16"/>
        <v>0.1512</v>
      </c>
      <c r="AQ39" s="107">
        <f t="shared" si="29"/>
        <v>0.0132</v>
      </c>
      <c r="AR39" s="105">
        <f t="shared" si="30"/>
        <v>0.316594905154625</v>
      </c>
      <c r="AS39" s="106">
        <f t="shared" si="31"/>
        <v>5.33333333333333</v>
      </c>
      <c r="AT39" s="107">
        <f t="shared" si="32"/>
        <v>94.3964791800727</v>
      </c>
    </row>
    <row r="40" spans="17:46">
      <c r="Q40">
        <v>33</v>
      </c>
      <c r="R40" s="105">
        <f t="shared" si="0"/>
        <v>10</v>
      </c>
      <c r="S40" s="106">
        <f t="shared" si="34"/>
        <v>0.55</v>
      </c>
      <c r="T40" s="106">
        <f t="shared" si="2"/>
        <v>4</v>
      </c>
      <c r="U40" s="107">
        <f t="shared" si="35"/>
        <v>1.375</v>
      </c>
      <c r="V40" s="105">
        <f t="shared" si="36"/>
        <v>2</v>
      </c>
      <c r="W40" s="106">
        <f t="shared" si="37"/>
        <v>0.714285714285714</v>
      </c>
      <c r="X40" s="107">
        <f t="shared" si="38"/>
        <v>0.285714285714286</v>
      </c>
      <c r="Y40" s="105">
        <f t="shared" si="18"/>
        <v>0.408163265306122</v>
      </c>
      <c r="Z40" s="106">
        <f t="shared" si="33"/>
        <v>2.33316326530612</v>
      </c>
      <c r="AA40" s="106">
        <f t="shared" si="19"/>
        <v>1.38003916765508</v>
      </c>
      <c r="AB40" s="106">
        <v>0</v>
      </c>
      <c r="AC40" s="106">
        <f t="shared" si="20"/>
        <v>0.0190450810426211</v>
      </c>
      <c r="AD40" s="107">
        <f t="shared" si="21"/>
        <v>0.0190450810426211</v>
      </c>
      <c r="AE40" s="105">
        <f t="shared" si="22"/>
        <v>0.540178571428572</v>
      </c>
      <c r="AF40" s="106">
        <f t="shared" si="23"/>
        <v>1.38003916765508</v>
      </c>
      <c r="AG40" s="106">
        <f t="shared" si="39"/>
        <v>0.0123793026777037</v>
      </c>
      <c r="AH40" s="106">
        <f t="shared" si="40"/>
        <v>-0.0522852337552535</v>
      </c>
      <c r="AI40" s="107">
        <f t="shared" si="24"/>
        <v>-0.0399059310775498</v>
      </c>
      <c r="AJ40" s="105">
        <f t="shared" si="25"/>
        <v>0.55</v>
      </c>
      <c r="AK40" s="106">
        <f t="shared" si="26"/>
        <v>1.139783400822</v>
      </c>
      <c r="AL40" s="106">
        <f t="shared" si="27"/>
        <v>0.17875</v>
      </c>
      <c r="AM40" s="106">
        <f t="shared" si="41"/>
        <v>0</v>
      </c>
      <c r="AN40" s="107">
        <f t="shared" si="28"/>
        <v>0.17875</v>
      </c>
      <c r="AO40" s="105">
        <f t="shared" si="42"/>
        <v>0.0190450810426211</v>
      </c>
      <c r="AP40" s="106">
        <f t="shared" si="16"/>
        <v>0.1512</v>
      </c>
      <c r="AQ40" s="107">
        <f t="shared" si="29"/>
        <v>0.0132</v>
      </c>
      <c r="AR40" s="105">
        <f t="shared" si="30"/>
        <v>0.322289149965071</v>
      </c>
      <c r="AS40" s="106">
        <f t="shared" si="31"/>
        <v>5.5</v>
      </c>
      <c r="AT40" s="107">
        <f t="shared" si="32"/>
        <v>94.4645629637442</v>
      </c>
    </row>
    <row r="41" spans="17:46">
      <c r="Q41">
        <v>34</v>
      </c>
      <c r="R41" s="105">
        <f t="shared" si="0"/>
        <v>10</v>
      </c>
      <c r="S41" s="106">
        <f t="shared" si="34"/>
        <v>0.566666666666667</v>
      </c>
      <c r="T41" s="106">
        <f t="shared" si="2"/>
        <v>4</v>
      </c>
      <c r="U41" s="107">
        <f t="shared" si="35"/>
        <v>1.41666666666667</v>
      </c>
      <c r="V41" s="105">
        <f t="shared" si="36"/>
        <v>2</v>
      </c>
      <c r="W41" s="106">
        <f t="shared" si="37"/>
        <v>0.714285714285714</v>
      </c>
      <c r="X41" s="107">
        <f t="shared" si="38"/>
        <v>0.285714285714286</v>
      </c>
      <c r="Y41" s="105">
        <f t="shared" si="18"/>
        <v>0.408163265306122</v>
      </c>
      <c r="Z41" s="106">
        <f t="shared" si="33"/>
        <v>2.39149659863946</v>
      </c>
      <c r="AA41" s="106">
        <f t="shared" si="19"/>
        <v>1.42155814116291</v>
      </c>
      <c r="AB41" s="106">
        <v>0</v>
      </c>
      <c r="AC41" s="106">
        <f t="shared" si="20"/>
        <v>0.0202082754870656</v>
      </c>
      <c r="AD41" s="107">
        <f t="shared" si="21"/>
        <v>0.0202082754870656</v>
      </c>
      <c r="AE41" s="105">
        <f t="shared" si="22"/>
        <v>0.573412698412698</v>
      </c>
      <c r="AF41" s="106">
        <f t="shared" si="23"/>
        <v>1.42155814116291</v>
      </c>
      <c r="AG41" s="106">
        <f t="shared" si="39"/>
        <v>0.0131353790665926</v>
      </c>
      <c r="AH41" s="106">
        <f t="shared" si="40"/>
        <v>-0.05386963477814</v>
      </c>
      <c r="AI41" s="107">
        <f t="shared" si="24"/>
        <v>-0.0407342557115474</v>
      </c>
      <c r="AJ41" s="105">
        <f t="shared" si="25"/>
        <v>0.566666666666667</v>
      </c>
      <c r="AK41" s="106">
        <f t="shared" si="26"/>
        <v>1.1709175080964</v>
      </c>
      <c r="AL41" s="106">
        <f t="shared" si="27"/>
        <v>0.184166666666667</v>
      </c>
      <c r="AM41" s="106">
        <f t="shared" si="41"/>
        <v>0</v>
      </c>
      <c r="AN41" s="107">
        <f t="shared" si="28"/>
        <v>0.184166666666667</v>
      </c>
      <c r="AO41" s="105">
        <f t="shared" si="42"/>
        <v>0.0202082754870656</v>
      </c>
      <c r="AP41" s="106">
        <f t="shared" si="16"/>
        <v>0.1512</v>
      </c>
      <c r="AQ41" s="107">
        <f t="shared" si="29"/>
        <v>0.0132</v>
      </c>
      <c r="AR41" s="105">
        <f t="shared" si="30"/>
        <v>0.328040686442185</v>
      </c>
      <c r="AS41" s="106">
        <f t="shared" si="31"/>
        <v>5.66666666666667</v>
      </c>
      <c r="AT41" s="107">
        <f t="shared" si="32"/>
        <v>94.5278281804355</v>
      </c>
    </row>
    <row r="42" spans="17:46">
      <c r="Q42">
        <v>35</v>
      </c>
      <c r="R42" s="105">
        <f t="shared" si="0"/>
        <v>10</v>
      </c>
      <c r="S42" s="106">
        <f t="shared" si="34"/>
        <v>0.583333333333333</v>
      </c>
      <c r="T42" s="106">
        <f t="shared" si="2"/>
        <v>4</v>
      </c>
      <c r="U42" s="107">
        <f t="shared" si="35"/>
        <v>1.45833333333333</v>
      </c>
      <c r="V42" s="105">
        <f t="shared" si="36"/>
        <v>2</v>
      </c>
      <c r="W42" s="106">
        <f t="shared" si="37"/>
        <v>0.714285714285714</v>
      </c>
      <c r="X42" s="107">
        <f t="shared" si="38"/>
        <v>0.285714285714286</v>
      </c>
      <c r="Y42" s="105">
        <f t="shared" si="18"/>
        <v>0.408163265306122</v>
      </c>
      <c r="Z42" s="106">
        <f t="shared" si="33"/>
        <v>2.44982993197279</v>
      </c>
      <c r="AA42" s="106">
        <f t="shared" si="19"/>
        <v>1.46308551198254</v>
      </c>
      <c r="AB42" s="106">
        <v>0</v>
      </c>
      <c r="AC42" s="106">
        <f t="shared" si="20"/>
        <v>0.0214061921537322</v>
      </c>
      <c r="AD42" s="107">
        <f t="shared" si="21"/>
        <v>0.0214061921537322</v>
      </c>
      <c r="AE42" s="105">
        <f t="shared" si="22"/>
        <v>0.607638888888889</v>
      </c>
      <c r="AF42" s="106">
        <f t="shared" si="23"/>
        <v>1.46308551198254</v>
      </c>
      <c r="AG42" s="106">
        <f t="shared" si="39"/>
        <v>0.013914024899926</v>
      </c>
      <c r="AH42" s="106">
        <f t="shared" si="40"/>
        <v>-0.0554540358010265</v>
      </c>
      <c r="AI42" s="107">
        <f t="shared" si="24"/>
        <v>-0.0415400109011005</v>
      </c>
      <c r="AJ42" s="105">
        <f t="shared" si="25"/>
        <v>0.583333333333333</v>
      </c>
      <c r="AK42" s="106">
        <f t="shared" si="26"/>
        <v>1.20205401924724</v>
      </c>
      <c r="AL42" s="106">
        <f t="shared" si="27"/>
        <v>0.189583333333333</v>
      </c>
      <c r="AM42" s="106">
        <f t="shared" si="41"/>
        <v>0</v>
      </c>
      <c r="AN42" s="107">
        <f t="shared" si="28"/>
        <v>0.189583333333333</v>
      </c>
      <c r="AO42" s="105">
        <f t="shared" si="42"/>
        <v>0.0214061921537322</v>
      </c>
      <c r="AP42" s="106">
        <f t="shared" si="16"/>
        <v>0.1512</v>
      </c>
      <c r="AQ42" s="107">
        <f t="shared" si="29"/>
        <v>0.0132</v>
      </c>
      <c r="AR42" s="105">
        <f t="shared" si="30"/>
        <v>0.333849514585965</v>
      </c>
      <c r="AS42" s="106">
        <f t="shared" si="31"/>
        <v>5.83333333333333</v>
      </c>
      <c r="AT42" s="107">
        <f t="shared" si="32"/>
        <v>94.5866772103473</v>
      </c>
    </row>
    <row r="43" spans="17:46">
      <c r="Q43">
        <v>36</v>
      </c>
      <c r="R43" s="105">
        <f t="shared" si="0"/>
        <v>10</v>
      </c>
      <c r="S43" s="106">
        <f t="shared" si="34"/>
        <v>0.6</v>
      </c>
      <c r="T43" s="106">
        <f t="shared" si="2"/>
        <v>4</v>
      </c>
      <c r="U43" s="107">
        <f t="shared" si="35"/>
        <v>1.5</v>
      </c>
      <c r="V43" s="105">
        <f t="shared" si="36"/>
        <v>2</v>
      </c>
      <c r="W43" s="106">
        <f t="shared" si="37"/>
        <v>0.714285714285714</v>
      </c>
      <c r="X43" s="107">
        <f t="shared" si="38"/>
        <v>0.285714285714286</v>
      </c>
      <c r="Y43" s="105">
        <f t="shared" si="18"/>
        <v>0.408163265306122</v>
      </c>
      <c r="Z43" s="106">
        <f t="shared" si="33"/>
        <v>2.50816326530612</v>
      </c>
      <c r="AA43" s="106">
        <f t="shared" si="19"/>
        <v>1.50462058481935</v>
      </c>
      <c r="AB43" s="106">
        <v>0</v>
      </c>
      <c r="AC43" s="106">
        <f t="shared" si="20"/>
        <v>0.0226388310426211</v>
      </c>
      <c r="AD43" s="107">
        <f t="shared" si="21"/>
        <v>0.0226388310426211</v>
      </c>
      <c r="AE43" s="105">
        <f t="shared" si="22"/>
        <v>0.642857142857143</v>
      </c>
      <c r="AF43" s="106">
        <f t="shared" si="23"/>
        <v>1.50462058481935</v>
      </c>
      <c r="AG43" s="106">
        <f t="shared" si="39"/>
        <v>0.0147152401777037</v>
      </c>
      <c r="AH43" s="106">
        <f t="shared" si="40"/>
        <v>-0.0570384368239129</v>
      </c>
      <c r="AI43" s="107">
        <f t="shared" si="24"/>
        <v>-0.0423231966462092</v>
      </c>
      <c r="AJ43" s="105">
        <f t="shared" si="25"/>
        <v>0.6</v>
      </c>
      <c r="AK43" s="106">
        <f t="shared" si="26"/>
        <v>1.23319275219029</v>
      </c>
      <c r="AL43" s="106">
        <f t="shared" si="27"/>
        <v>0.195</v>
      </c>
      <c r="AM43" s="106">
        <f t="shared" si="41"/>
        <v>0</v>
      </c>
      <c r="AN43" s="107">
        <f t="shared" si="28"/>
        <v>0.195</v>
      </c>
      <c r="AO43" s="105">
        <f t="shared" si="42"/>
        <v>0.0226388310426211</v>
      </c>
      <c r="AP43" s="106">
        <f t="shared" si="16"/>
        <v>0.1512</v>
      </c>
      <c r="AQ43" s="107">
        <f t="shared" si="29"/>
        <v>0.0132</v>
      </c>
      <c r="AR43" s="105">
        <f t="shared" si="30"/>
        <v>0.339715634396412</v>
      </c>
      <c r="AS43" s="106">
        <f t="shared" si="31"/>
        <v>6</v>
      </c>
      <c r="AT43" s="107">
        <f t="shared" si="32"/>
        <v>94.6414688924962</v>
      </c>
    </row>
    <row r="44" spans="17:46">
      <c r="Q44">
        <v>37</v>
      </c>
      <c r="R44" s="105">
        <f t="shared" si="0"/>
        <v>10</v>
      </c>
      <c r="S44" s="106">
        <f t="shared" si="34"/>
        <v>0.616666666666667</v>
      </c>
      <c r="T44" s="106">
        <f t="shared" si="2"/>
        <v>4</v>
      </c>
      <c r="U44" s="107">
        <f t="shared" si="35"/>
        <v>1.54166666666667</v>
      </c>
      <c r="V44" s="105">
        <f t="shared" si="36"/>
        <v>2</v>
      </c>
      <c r="W44" s="106">
        <f t="shared" si="37"/>
        <v>0.714285714285714</v>
      </c>
      <c r="X44" s="107">
        <f t="shared" si="38"/>
        <v>0.285714285714286</v>
      </c>
      <c r="Y44" s="105">
        <f t="shared" si="18"/>
        <v>0.408163265306122</v>
      </c>
      <c r="Z44" s="106">
        <f t="shared" si="33"/>
        <v>2.56649659863946</v>
      </c>
      <c r="AA44" s="106">
        <f t="shared" si="19"/>
        <v>1.54616273896806</v>
      </c>
      <c r="AB44" s="106">
        <v>0</v>
      </c>
      <c r="AC44" s="106">
        <f t="shared" si="20"/>
        <v>0.0239061921537322</v>
      </c>
      <c r="AD44" s="107">
        <f t="shared" si="21"/>
        <v>0.0239061921537322</v>
      </c>
      <c r="AE44" s="105">
        <f t="shared" si="22"/>
        <v>0.67906746031746</v>
      </c>
      <c r="AF44" s="106">
        <f t="shared" si="23"/>
        <v>1.54616273896806</v>
      </c>
      <c r="AG44" s="106">
        <f t="shared" si="39"/>
        <v>0.015539024899926</v>
      </c>
      <c r="AH44" s="106">
        <f t="shared" si="40"/>
        <v>-0.0586228378467994</v>
      </c>
      <c r="AI44" s="107">
        <f t="shared" si="24"/>
        <v>-0.0430838129468735</v>
      </c>
      <c r="AJ44" s="105">
        <f t="shared" si="25"/>
        <v>0.616666666666667</v>
      </c>
      <c r="AK44" s="106">
        <f t="shared" si="26"/>
        <v>1.26433354276683</v>
      </c>
      <c r="AL44" s="106">
        <f t="shared" si="27"/>
        <v>0.200416666666667</v>
      </c>
      <c r="AM44" s="106">
        <f t="shared" si="41"/>
        <v>0</v>
      </c>
      <c r="AN44" s="107">
        <f t="shared" si="28"/>
        <v>0.200416666666667</v>
      </c>
      <c r="AO44" s="105">
        <f t="shared" si="42"/>
        <v>0.0239061921537322</v>
      </c>
      <c r="AP44" s="106">
        <f t="shared" si="16"/>
        <v>0.1512</v>
      </c>
      <c r="AQ44" s="107">
        <f t="shared" si="29"/>
        <v>0.0132</v>
      </c>
      <c r="AR44" s="105">
        <f t="shared" si="30"/>
        <v>0.345639045873525</v>
      </c>
      <c r="AS44" s="106">
        <f t="shared" si="31"/>
        <v>6.16666666666667</v>
      </c>
      <c r="AT44" s="107">
        <f t="shared" si="32"/>
        <v>94.6925242589893</v>
      </c>
    </row>
    <row r="45" spans="17:46">
      <c r="Q45">
        <v>38</v>
      </c>
      <c r="R45" s="105">
        <f t="shared" si="0"/>
        <v>10</v>
      </c>
      <c r="S45" s="106">
        <f t="shared" si="34"/>
        <v>0.633333333333333</v>
      </c>
      <c r="T45" s="106">
        <f t="shared" si="2"/>
        <v>4</v>
      </c>
      <c r="U45" s="107">
        <f t="shared" si="35"/>
        <v>1.58333333333333</v>
      </c>
      <c r="V45" s="105">
        <f t="shared" si="36"/>
        <v>2</v>
      </c>
      <c r="W45" s="106">
        <f t="shared" si="37"/>
        <v>0.714285714285714</v>
      </c>
      <c r="X45" s="107">
        <f t="shared" si="38"/>
        <v>0.285714285714286</v>
      </c>
      <c r="Y45" s="105">
        <f t="shared" si="18"/>
        <v>0.408163265306122</v>
      </c>
      <c r="Z45" s="106">
        <f t="shared" si="33"/>
        <v>2.62482993197279</v>
      </c>
      <c r="AA45" s="106">
        <f t="shared" si="19"/>
        <v>1.58771141858543</v>
      </c>
      <c r="AB45" s="106">
        <v>0</v>
      </c>
      <c r="AC45" s="106">
        <f t="shared" si="20"/>
        <v>0.0252082754870656</v>
      </c>
      <c r="AD45" s="107">
        <f t="shared" si="21"/>
        <v>0.0252082754870656</v>
      </c>
      <c r="AE45" s="105">
        <f t="shared" si="22"/>
        <v>0.716269841269841</v>
      </c>
      <c r="AF45" s="106">
        <f t="shared" si="23"/>
        <v>1.58771141858543</v>
      </c>
      <c r="AG45" s="106">
        <f t="shared" si="39"/>
        <v>0.0163853790665926</v>
      </c>
      <c r="AH45" s="106">
        <f t="shared" si="40"/>
        <v>-0.0602072388696859</v>
      </c>
      <c r="AI45" s="107">
        <f t="shared" si="24"/>
        <v>-0.0438218598030933</v>
      </c>
      <c r="AJ45" s="105">
        <f t="shared" si="25"/>
        <v>0.633333333333333</v>
      </c>
      <c r="AK45" s="106">
        <f t="shared" si="26"/>
        <v>1.29547624259205</v>
      </c>
      <c r="AL45" s="106">
        <f t="shared" si="27"/>
        <v>0.205833333333333</v>
      </c>
      <c r="AM45" s="106">
        <f t="shared" si="41"/>
        <v>0</v>
      </c>
      <c r="AN45" s="107">
        <f t="shared" si="28"/>
        <v>0.205833333333333</v>
      </c>
      <c r="AO45" s="105">
        <f t="shared" si="42"/>
        <v>0.0252082754870656</v>
      </c>
      <c r="AP45" s="106">
        <f t="shared" si="16"/>
        <v>0.1512</v>
      </c>
      <c r="AQ45" s="107">
        <f t="shared" si="29"/>
        <v>0.0132</v>
      </c>
      <c r="AR45" s="105">
        <f t="shared" si="30"/>
        <v>0.351619749017306</v>
      </c>
      <c r="AS45" s="106">
        <f t="shared" si="31"/>
        <v>6.33333333333333</v>
      </c>
      <c r="AT45" s="107">
        <f t="shared" si="32"/>
        <v>94.7401313863273</v>
      </c>
    </row>
    <row r="46" spans="17:46">
      <c r="Q46">
        <v>39</v>
      </c>
      <c r="R46" s="105">
        <f t="shared" si="0"/>
        <v>10</v>
      </c>
      <c r="S46" s="106">
        <f t="shared" si="34"/>
        <v>0.65</v>
      </c>
      <c r="T46" s="106">
        <f t="shared" si="2"/>
        <v>4</v>
      </c>
      <c r="U46" s="107">
        <f t="shared" si="35"/>
        <v>1.625</v>
      </c>
      <c r="V46" s="105">
        <f t="shared" si="36"/>
        <v>2</v>
      </c>
      <c r="W46" s="106">
        <f t="shared" si="37"/>
        <v>0.714285714285714</v>
      </c>
      <c r="X46" s="107">
        <f t="shared" si="38"/>
        <v>0.285714285714286</v>
      </c>
      <c r="Y46" s="105">
        <f t="shared" si="18"/>
        <v>0.408163265306122</v>
      </c>
      <c r="Z46" s="106">
        <f t="shared" si="33"/>
        <v>2.68316326530612</v>
      </c>
      <c r="AA46" s="106">
        <f t="shared" si="19"/>
        <v>1.62926612444441</v>
      </c>
      <c r="AB46" s="106">
        <v>0</v>
      </c>
      <c r="AC46" s="106">
        <f t="shared" si="20"/>
        <v>0.0265450810426211</v>
      </c>
      <c r="AD46" s="107">
        <f t="shared" si="21"/>
        <v>0.0265450810426211</v>
      </c>
      <c r="AE46" s="105">
        <f t="shared" si="22"/>
        <v>0.754464285714286</v>
      </c>
      <c r="AF46" s="106">
        <f t="shared" si="23"/>
        <v>1.62926612444441</v>
      </c>
      <c r="AG46" s="106">
        <f t="shared" si="39"/>
        <v>0.0172543026777037</v>
      </c>
      <c r="AH46" s="106">
        <f t="shared" si="40"/>
        <v>-0.0617916398925724</v>
      </c>
      <c r="AI46" s="107">
        <f t="shared" si="24"/>
        <v>-0.0445373372148686</v>
      </c>
      <c r="AJ46" s="105">
        <f t="shared" si="25"/>
        <v>0.65</v>
      </c>
      <c r="AK46" s="106">
        <f t="shared" si="26"/>
        <v>1.32662071720593</v>
      </c>
      <c r="AL46" s="106">
        <f t="shared" si="27"/>
        <v>0.21125</v>
      </c>
      <c r="AM46" s="106">
        <f t="shared" si="41"/>
        <v>0</v>
      </c>
      <c r="AN46" s="107">
        <f t="shared" si="28"/>
        <v>0.21125</v>
      </c>
      <c r="AO46" s="105">
        <f t="shared" si="42"/>
        <v>0.0265450810426211</v>
      </c>
      <c r="AP46" s="106">
        <f t="shared" si="16"/>
        <v>0.1512</v>
      </c>
      <c r="AQ46" s="107">
        <f t="shared" si="29"/>
        <v>0.0132</v>
      </c>
      <c r="AR46" s="105">
        <f t="shared" si="30"/>
        <v>0.357657743827753</v>
      </c>
      <c r="AS46" s="106">
        <f t="shared" si="31"/>
        <v>6.5</v>
      </c>
      <c r="AT46" s="107">
        <f t="shared" si="32"/>
        <v>94.7845495183882</v>
      </c>
    </row>
    <row r="47" spans="17:46">
      <c r="Q47">
        <v>40</v>
      </c>
      <c r="R47" s="105">
        <f t="shared" si="0"/>
        <v>10</v>
      </c>
      <c r="S47" s="106">
        <f t="shared" si="34"/>
        <v>0.666666666666667</v>
      </c>
      <c r="T47" s="106">
        <f t="shared" si="2"/>
        <v>4</v>
      </c>
      <c r="U47" s="107">
        <f t="shared" si="35"/>
        <v>1.66666666666667</v>
      </c>
      <c r="V47" s="105">
        <f t="shared" si="36"/>
        <v>2</v>
      </c>
      <c r="W47" s="106">
        <f t="shared" si="37"/>
        <v>0.714285714285714</v>
      </c>
      <c r="X47" s="107">
        <f t="shared" si="38"/>
        <v>0.285714285714286</v>
      </c>
      <c r="Y47" s="105">
        <f t="shared" si="18"/>
        <v>0.408163265306122</v>
      </c>
      <c r="Z47" s="106">
        <f t="shared" si="33"/>
        <v>2.74149659863946</v>
      </c>
      <c r="AA47" s="106">
        <f t="shared" si="19"/>
        <v>1.67082640691362</v>
      </c>
      <c r="AB47" s="106">
        <v>0</v>
      </c>
      <c r="AC47" s="106">
        <f t="shared" si="20"/>
        <v>0.0279166088203989</v>
      </c>
      <c r="AD47" s="107">
        <f t="shared" si="21"/>
        <v>0.0279166088203989</v>
      </c>
      <c r="AE47" s="105">
        <f t="shared" si="22"/>
        <v>0.793650793650793</v>
      </c>
      <c r="AF47" s="106">
        <f t="shared" si="23"/>
        <v>1.67082640691362</v>
      </c>
      <c r="AG47" s="106">
        <f t="shared" si="39"/>
        <v>0.0181457957332593</v>
      </c>
      <c r="AH47" s="106">
        <f t="shared" si="40"/>
        <v>-0.0633760409154588</v>
      </c>
      <c r="AI47" s="107">
        <f t="shared" si="24"/>
        <v>-0.0452302451821995</v>
      </c>
      <c r="AJ47" s="105">
        <f t="shared" si="25"/>
        <v>0.666666666666667</v>
      </c>
      <c r="AK47" s="106">
        <f t="shared" si="26"/>
        <v>1.35776684447808</v>
      </c>
      <c r="AL47" s="106">
        <f t="shared" si="27"/>
        <v>0.216666666666667</v>
      </c>
      <c r="AM47" s="106">
        <f t="shared" si="41"/>
        <v>0</v>
      </c>
      <c r="AN47" s="107">
        <f t="shared" si="28"/>
        <v>0.216666666666667</v>
      </c>
      <c r="AO47" s="105">
        <f t="shared" si="42"/>
        <v>0.0279166088203989</v>
      </c>
      <c r="AP47" s="106">
        <f t="shared" si="16"/>
        <v>0.1512</v>
      </c>
      <c r="AQ47" s="107">
        <f t="shared" si="29"/>
        <v>0.0132</v>
      </c>
      <c r="AR47" s="105">
        <f t="shared" si="30"/>
        <v>0.363753030304866</v>
      </c>
      <c r="AS47" s="106">
        <f t="shared" si="31"/>
        <v>6.66666666666667</v>
      </c>
      <c r="AT47" s="107">
        <f t="shared" si="32"/>
        <v>94.8260125855422</v>
      </c>
    </row>
    <row r="48" spans="17:46">
      <c r="Q48">
        <v>41</v>
      </c>
      <c r="R48" s="105">
        <f t="shared" si="0"/>
        <v>10</v>
      </c>
      <c r="S48" s="106">
        <f t="shared" si="34"/>
        <v>0.683333333333333</v>
      </c>
      <c r="T48" s="106">
        <f t="shared" si="2"/>
        <v>4</v>
      </c>
      <c r="U48" s="107">
        <f t="shared" si="35"/>
        <v>1.70833333333333</v>
      </c>
      <c r="V48" s="105">
        <f t="shared" si="36"/>
        <v>2</v>
      </c>
      <c r="W48" s="106">
        <f t="shared" si="37"/>
        <v>0.714285714285714</v>
      </c>
      <c r="X48" s="107">
        <f t="shared" si="38"/>
        <v>0.285714285714286</v>
      </c>
      <c r="Y48" s="105">
        <f t="shared" si="18"/>
        <v>0.408163265306122</v>
      </c>
      <c r="Z48" s="106">
        <f t="shared" si="33"/>
        <v>2.79982993197279</v>
      </c>
      <c r="AA48" s="106">
        <f t="shared" si="19"/>
        <v>1.71239185995493</v>
      </c>
      <c r="AB48" s="106">
        <v>0</v>
      </c>
      <c r="AC48" s="106">
        <f t="shared" si="20"/>
        <v>0.0293228588203989</v>
      </c>
      <c r="AD48" s="107">
        <f t="shared" si="21"/>
        <v>0.0293228588203989</v>
      </c>
      <c r="AE48" s="105">
        <f t="shared" si="22"/>
        <v>0.833829365079365</v>
      </c>
      <c r="AF48" s="106">
        <f t="shared" si="23"/>
        <v>1.71239185995493</v>
      </c>
      <c r="AG48" s="106">
        <f t="shared" si="39"/>
        <v>0.0190598582332593</v>
      </c>
      <c r="AH48" s="106">
        <f t="shared" si="40"/>
        <v>-0.0649604419383453</v>
      </c>
      <c r="AI48" s="107">
        <f t="shared" si="24"/>
        <v>-0.045900583705086</v>
      </c>
      <c r="AJ48" s="105">
        <f t="shared" si="25"/>
        <v>0.683333333333333</v>
      </c>
      <c r="AK48" s="106">
        <f t="shared" si="26"/>
        <v>1.38891451322693</v>
      </c>
      <c r="AL48" s="106">
        <f t="shared" si="27"/>
        <v>0.222083333333333</v>
      </c>
      <c r="AM48" s="106">
        <f t="shared" si="41"/>
        <v>0</v>
      </c>
      <c r="AN48" s="107">
        <f t="shared" si="28"/>
        <v>0.222083333333333</v>
      </c>
      <c r="AO48" s="105">
        <f t="shared" si="42"/>
        <v>0.0293228588203989</v>
      </c>
      <c r="AP48" s="106">
        <f t="shared" si="16"/>
        <v>0.1512</v>
      </c>
      <c r="AQ48" s="107">
        <f t="shared" si="29"/>
        <v>0.0132</v>
      </c>
      <c r="AR48" s="105">
        <f t="shared" si="30"/>
        <v>0.369905608448646</v>
      </c>
      <c r="AS48" s="106">
        <f t="shared" si="31"/>
        <v>6.83333333333333</v>
      </c>
      <c r="AT48" s="107">
        <f t="shared" si="32"/>
        <v>94.8647322206261</v>
      </c>
    </row>
    <row r="49" spans="17:46">
      <c r="Q49">
        <v>42</v>
      </c>
      <c r="R49" s="105">
        <f t="shared" si="0"/>
        <v>10</v>
      </c>
      <c r="S49" s="106">
        <f t="shared" si="34"/>
        <v>0.7</v>
      </c>
      <c r="T49" s="106">
        <f t="shared" si="2"/>
        <v>4</v>
      </c>
      <c r="U49" s="107">
        <f t="shared" si="35"/>
        <v>1.75</v>
      </c>
      <c r="V49" s="105">
        <f t="shared" si="36"/>
        <v>2</v>
      </c>
      <c r="W49" s="106">
        <f t="shared" si="37"/>
        <v>0.714285714285714</v>
      </c>
      <c r="X49" s="107">
        <f t="shared" si="38"/>
        <v>0.285714285714286</v>
      </c>
      <c r="Y49" s="105">
        <f t="shared" si="18"/>
        <v>0.408163265306122</v>
      </c>
      <c r="Z49" s="106">
        <f t="shared" si="33"/>
        <v>2.85816326530612</v>
      </c>
      <c r="AA49" s="106">
        <f t="shared" si="19"/>
        <v>1.75396211597118</v>
      </c>
      <c r="AB49" s="106">
        <v>0</v>
      </c>
      <c r="AC49" s="106">
        <f t="shared" si="20"/>
        <v>0.0307638310426211</v>
      </c>
      <c r="AD49" s="107">
        <f t="shared" si="21"/>
        <v>0.0307638310426211</v>
      </c>
      <c r="AE49" s="105">
        <f t="shared" si="22"/>
        <v>0.875</v>
      </c>
      <c r="AF49" s="106">
        <f t="shared" si="23"/>
        <v>1.75396211597118</v>
      </c>
      <c r="AG49" s="106">
        <f t="shared" si="39"/>
        <v>0.0199964901777037</v>
      </c>
      <c r="AH49" s="106">
        <f t="shared" si="40"/>
        <v>-0.0665448429612318</v>
      </c>
      <c r="AI49" s="107">
        <f t="shared" si="24"/>
        <v>-0.046548352783528</v>
      </c>
      <c r="AJ49" s="105">
        <f t="shared" si="25"/>
        <v>0.7</v>
      </c>
      <c r="AK49" s="106">
        <f t="shared" si="26"/>
        <v>1.42006362202025</v>
      </c>
      <c r="AL49" s="106">
        <f t="shared" si="27"/>
        <v>0.2275</v>
      </c>
      <c r="AM49" s="106">
        <f t="shared" si="41"/>
        <v>0</v>
      </c>
      <c r="AN49" s="107">
        <f t="shared" si="28"/>
        <v>0.2275</v>
      </c>
      <c r="AO49" s="105">
        <f t="shared" si="42"/>
        <v>0.0307638310426211</v>
      </c>
      <c r="AP49" s="106">
        <f t="shared" si="16"/>
        <v>0.1512</v>
      </c>
      <c r="AQ49" s="107">
        <f t="shared" si="29"/>
        <v>0.0132</v>
      </c>
      <c r="AR49" s="105">
        <f t="shared" si="30"/>
        <v>0.376115478259093</v>
      </c>
      <c r="AS49" s="106">
        <f t="shared" si="31"/>
        <v>7</v>
      </c>
      <c r="AT49" s="107">
        <f t="shared" si="32"/>
        <v>94.9009003537474</v>
      </c>
    </row>
    <row r="50" spans="17:46">
      <c r="Q50">
        <v>43</v>
      </c>
      <c r="R50" s="105">
        <f t="shared" si="0"/>
        <v>10</v>
      </c>
      <c r="S50" s="106">
        <f t="shared" si="34"/>
        <v>0.716666666666667</v>
      </c>
      <c r="T50" s="106">
        <f t="shared" si="2"/>
        <v>4</v>
      </c>
      <c r="U50" s="107">
        <f t="shared" si="35"/>
        <v>1.79166666666667</v>
      </c>
      <c r="V50" s="105">
        <f t="shared" si="36"/>
        <v>2</v>
      </c>
      <c r="W50" s="106">
        <f t="shared" si="37"/>
        <v>0.714285714285714</v>
      </c>
      <c r="X50" s="107">
        <f t="shared" si="38"/>
        <v>0.285714285714286</v>
      </c>
      <c r="Y50" s="105">
        <f t="shared" si="18"/>
        <v>0.408163265306122</v>
      </c>
      <c r="Z50" s="106">
        <f t="shared" si="33"/>
        <v>2.91649659863946</v>
      </c>
      <c r="AA50" s="106">
        <f t="shared" si="19"/>
        <v>1.7955368413671</v>
      </c>
      <c r="AB50" s="106">
        <v>0</v>
      </c>
      <c r="AC50" s="106">
        <f t="shared" si="20"/>
        <v>0.0322395254870656</v>
      </c>
      <c r="AD50" s="107">
        <f t="shared" si="21"/>
        <v>0.0322395254870656</v>
      </c>
      <c r="AE50" s="105">
        <f t="shared" si="22"/>
        <v>0.917162698412698</v>
      </c>
      <c r="AF50" s="106">
        <f t="shared" si="23"/>
        <v>1.7955368413671</v>
      </c>
      <c r="AG50" s="106">
        <f t="shared" si="39"/>
        <v>0.0209556915665926</v>
      </c>
      <c r="AH50" s="106">
        <f t="shared" si="40"/>
        <v>-0.0681292439841182</v>
      </c>
      <c r="AI50" s="107">
        <f t="shared" si="24"/>
        <v>-0.0471735524175256</v>
      </c>
      <c r="AJ50" s="105">
        <f t="shared" si="25"/>
        <v>0.716666666666667</v>
      </c>
      <c r="AK50" s="106">
        <f t="shared" si="26"/>
        <v>1.45121407812996</v>
      </c>
      <c r="AL50" s="106">
        <f t="shared" si="27"/>
        <v>0.232916666666667</v>
      </c>
      <c r="AM50" s="106">
        <f t="shared" si="41"/>
        <v>0</v>
      </c>
      <c r="AN50" s="107">
        <f t="shared" si="28"/>
        <v>0.232916666666667</v>
      </c>
      <c r="AO50" s="105">
        <f t="shared" si="42"/>
        <v>0.0322395254870656</v>
      </c>
      <c r="AP50" s="106">
        <f t="shared" si="16"/>
        <v>0.1512</v>
      </c>
      <c r="AQ50" s="107">
        <f t="shared" si="29"/>
        <v>0.0132</v>
      </c>
      <c r="AR50" s="105">
        <f t="shared" si="30"/>
        <v>0.382382639736207</v>
      </c>
      <c r="AS50" s="106">
        <f t="shared" si="31"/>
        <v>7.16666666666667</v>
      </c>
      <c r="AT50" s="107">
        <f t="shared" si="32"/>
        <v>94.934691452977</v>
      </c>
    </row>
    <row r="51" spans="17:46">
      <c r="Q51">
        <v>44</v>
      </c>
      <c r="R51" s="105">
        <f t="shared" si="0"/>
        <v>10</v>
      </c>
      <c r="S51" s="106">
        <f t="shared" si="34"/>
        <v>0.733333333333333</v>
      </c>
      <c r="T51" s="106">
        <f t="shared" si="2"/>
        <v>4</v>
      </c>
      <c r="U51" s="107">
        <f t="shared" si="35"/>
        <v>1.83333333333333</v>
      </c>
      <c r="V51" s="105">
        <f t="shared" si="36"/>
        <v>2</v>
      </c>
      <c r="W51" s="106">
        <f t="shared" si="37"/>
        <v>0.714285714285714</v>
      </c>
      <c r="X51" s="107">
        <f t="shared" si="38"/>
        <v>0.285714285714286</v>
      </c>
      <c r="Y51" s="105">
        <f t="shared" si="18"/>
        <v>0.408163265306122</v>
      </c>
      <c r="Z51" s="106">
        <f t="shared" si="33"/>
        <v>2.97482993197279</v>
      </c>
      <c r="AA51" s="106">
        <f t="shared" si="19"/>
        <v>1.83711573271071</v>
      </c>
      <c r="AB51" s="106">
        <v>0</v>
      </c>
      <c r="AC51" s="106">
        <f t="shared" si="20"/>
        <v>0.0337499421537322</v>
      </c>
      <c r="AD51" s="107">
        <f t="shared" si="21"/>
        <v>0.0337499421537322</v>
      </c>
      <c r="AE51" s="105">
        <f t="shared" si="22"/>
        <v>0.96031746031746</v>
      </c>
      <c r="AF51" s="106">
        <f t="shared" si="23"/>
        <v>1.83711573271071</v>
      </c>
      <c r="AG51" s="106">
        <f t="shared" si="39"/>
        <v>0.021937462399926</v>
      </c>
      <c r="AH51" s="106">
        <f t="shared" si="40"/>
        <v>-0.0697136450070047</v>
      </c>
      <c r="AI51" s="107">
        <f t="shared" si="24"/>
        <v>-0.0477761826070787</v>
      </c>
      <c r="AJ51" s="105">
        <f t="shared" si="25"/>
        <v>0.733333333333333</v>
      </c>
      <c r="AK51" s="106">
        <f t="shared" si="26"/>
        <v>1.48236579661849</v>
      </c>
      <c r="AL51" s="106">
        <f t="shared" si="27"/>
        <v>0.238333333333333</v>
      </c>
      <c r="AM51" s="106">
        <f t="shared" si="41"/>
        <v>0</v>
      </c>
      <c r="AN51" s="107">
        <f t="shared" si="28"/>
        <v>0.238333333333333</v>
      </c>
      <c r="AO51" s="105">
        <f t="shared" si="42"/>
        <v>0.0337499421537322</v>
      </c>
      <c r="AP51" s="106">
        <f t="shared" si="16"/>
        <v>0.1512</v>
      </c>
      <c r="AQ51" s="107">
        <f t="shared" si="29"/>
        <v>0.0132</v>
      </c>
      <c r="AR51" s="105">
        <f t="shared" si="30"/>
        <v>0.388707092879987</v>
      </c>
      <c r="AS51" s="106">
        <f t="shared" si="31"/>
        <v>7.33333333333333</v>
      </c>
      <c r="AT51" s="107">
        <f t="shared" si="32"/>
        <v>94.9662644660539</v>
      </c>
    </row>
    <row r="52" spans="17:46">
      <c r="Q52">
        <v>45</v>
      </c>
      <c r="R52" s="105">
        <f t="shared" si="0"/>
        <v>10</v>
      </c>
      <c r="S52" s="106">
        <f t="shared" si="34"/>
        <v>0.75</v>
      </c>
      <c r="T52" s="106">
        <f t="shared" si="2"/>
        <v>4</v>
      </c>
      <c r="U52" s="107">
        <f t="shared" si="35"/>
        <v>1.875</v>
      </c>
      <c r="V52" s="105">
        <f t="shared" si="36"/>
        <v>2</v>
      </c>
      <c r="W52" s="106">
        <f t="shared" si="37"/>
        <v>0.714285714285714</v>
      </c>
      <c r="X52" s="107">
        <f t="shared" si="38"/>
        <v>0.285714285714286</v>
      </c>
      <c r="Y52" s="105">
        <f t="shared" si="18"/>
        <v>0.408163265306122</v>
      </c>
      <c r="Z52" s="106">
        <f t="shared" si="33"/>
        <v>3.03316326530612</v>
      </c>
      <c r="AA52" s="106">
        <f t="shared" si="19"/>
        <v>1.87869851340286</v>
      </c>
      <c r="AB52" s="106">
        <v>0</v>
      </c>
      <c r="AC52" s="106">
        <f t="shared" si="20"/>
        <v>0.0352950810426211</v>
      </c>
      <c r="AD52" s="107">
        <f t="shared" si="21"/>
        <v>0.0352950810426211</v>
      </c>
      <c r="AE52" s="105">
        <f t="shared" si="22"/>
        <v>1.00446428571429</v>
      </c>
      <c r="AF52" s="106">
        <f t="shared" si="23"/>
        <v>1.87869851340286</v>
      </c>
      <c r="AG52" s="106">
        <f t="shared" si="39"/>
        <v>0.0229418026777037</v>
      </c>
      <c r="AH52" s="106">
        <f t="shared" si="40"/>
        <v>-0.0712980460298912</v>
      </c>
      <c r="AI52" s="107">
        <f t="shared" si="24"/>
        <v>-0.0483562433521874</v>
      </c>
      <c r="AJ52" s="105">
        <f t="shared" si="25"/>
        <v>0.75</v>
      </c>
      <c r="AK52" s="106">
        <f t="shared" si="26"/>
        <v>1.51351869953779</v>
      </c>
      <c r="AL52" s="106">
        <f t="shared" si="27"/>
        <v>0.24375</v>
      </c>
      <c r="AM52" s="106">
        <f t="shared" si="41"/>
        <v>0</v>
      </c>
      <c r="AN52" s="107">
        <f t="shared" si="28"/>
        <v>0.24375</v>
      </c>
      <c r="AO52" s="105">
        <f t="shared" si="42"/>
        <v>0.0352950810426211</v>
      </c>
      <c r="AP52" s="106">
        <f t="shared" si="16"/>
        <v>0.1512</v>
      </c>
      <c r="AQ52" s="107">
        <f t="shared" si="29"/>
        <v>0.0132</v>
      </c>
      <c r="AR52" s="105">
        <f t="shared" si="30"/>
        <v>0.395088837690434</v>
      </c>
      <c r="AS52" s="106">
        <f t="shared" si="31"/>
        <v>7.5</v>
      </c>
      <c r="AT52" s="107">
        <f t="shared" si="32"/>
        <v>94.9957645086358</v>
      </c>
    </row>
    <row r="53" spans="17:46">
      <c r="Q53">
        <v>46</v>
      </c>
      <c r="R53" s="105">
        <f t="shared" si="0"/>
        <v>10</v>
      </c>
      <c r="S53" s="106">
        <f t="shared" si="34"/>
        <v>0.766666666666667</v>
      </c>
      <c r="T53" s="106">
        <f t="shared" si="2"/>
        <v>4</v>
      </c>
      <c r="U53" s="107">
        <f t="shared" si="35"/>
        <v>1.91666666666667</v>
      </c>
      <c r="V53" s="105">
        <f t="shared" si="36"/>
        <v>2</v>
      </c>
      <c r="W53" s="106">
        <f t="shared" si="37"/>
        <v>0.714285714285714</v>
      </c>
      <c r="X53" s="107">
        <f t="shared" si="38"/>
        <v>0.285714285714286</v>
      </c>
      <c r="Y53" s="105">
        <f t="shared" si="18"/>
        <v>0.408163265306122</v>
      </c>
      <c r="Z53" s="106">
        <f t="shared" si="33"/>
        <v>3.09149659863946</v>
      </c>
      <c r="AA53" s="106">
        <f t="shared" si="19"/>
        <v>1.92028493077804</v>
      </c>
      <c r="AB53" s="106">
        <v>0</v>
      </c>
      <c r="AC53" s="106">
        <f t="shared" si="20"/>
        <v>0.0368749421537322</v>
      </c>
      <c r="AD53" s="107">
        <f t="shared" si="21"/>
        <v>0.0368749421537322</v>
      </c>
      <c r="AE53" s="105">
        <f t="shared" si="22"/>
        <v>1.04960317460317</v>
      </c>
      <c r="AF53" s="106">
        <f t="shared" si="23"/>
        <v>1.92028493077804</v>
      </c>
      <c r="AG53" s="106">
        <f t="shared" si="39"/>
        <v>0.023968712399926</v>
      </c>
      <c r="AH53" s="106">
        <f t="shared" si="40"/>
        <v>-0.0728824470527776</v>
      </c>
      <c r="AI53" s="107">
        <f t="shared" si="24"/>
        <v>-0.0489137346528517</v>
      </c>
      <c r="AJ53" s="105">
        <f t="shared" si="25"/>
        <v>0.766666666666667</v>
      </c>
      <c r="AK53" s="106">
        <f t="shared" si="26"/>
        <v>1.54467271522521</v>
      </c>
      <c r="AL53" s="106">
        <f t="shared" si="27"/>
        <v>0.249166666666667</v>
      </c>
      <c r="AM53" s="106">
        <f t="shared" si="41"/>
        <v>0</v>
      </c>
      <c r="AN53" s="107">
        <f t="shared" si="28"/>
        <v>0.249166666666667</v>
      </c>
      <c r="AO53" s="105">
        <f t="shared" si="42"/>
        <v>0.0368749421537322</v>
      </c>
      <c r="AP53" s="106">
        <f t="shared" si="16"/>
        <v>0.1512</v>
      </c>
      <c r="AQ53" s="107">
        <f t="shared" si="29"/>
        <v>0.0132</v>
      </c>
      <c r="AR53" s="105">
        <f t="shared" si="30"/>
        <v>0.401527874167547</v>
      </c>
      <c r="AS53" s="106">
        <f t="shared" si="31"/>
        <v>7.66666666666667</v>
      </c>
      <c r="AT53" s="107">
        <f t="shared" si="32"/>
        <v>95.0233243368716</v>
      </c>
    </row>
    <row r="54" spans="17:46">
      <c r="Q54">
        <v>47</v>
      </c>
      <c r="R54" s="105">
        <f t="shared" si="0"/>
        <v>10</v>
      </c>
      <c r="S54" s="106">
        <f t="shared" si="34"/>
        <v>0.783333333333333</v>
      </c>
      <c r="T54" s="106">
        <f t="shared" si="2"/>
        <v>4</v>
      </c>
      <c r="U54" s="107">
        <f t="shared" si="35"/>
        <v>1.95833333333333</v>
      </c>
      <c r="V54" s="105">
        <f t="shared" si="36"/>
        <v>2</v>
      </c>
      <c r="W54" s="106">
        <f t="shared" si="37"/>
        <v>0.714285714285714</v>
      </c>
      <c r="X54" s="107">
        <f t="shared" si="38"/>
        <v>0.285714285714286</v>
      </c>
      <c r="Y54" s="105">
        <f t="shared" si="18"/>
        <v>0.408163265306122</v>
      </c>
      <c r="Z54" s="106">
        <f t="shared" si="33"/>
        <v>3.14982993197279</v>
      </c>
      <c r="AA54" s="106">
        <f t="shared" si="19"/>
        <v>1.96187475357286</v>
      </c>
      <c r="AB54" s="106">
        <v>0</v>
      </c>
      <c r="AC54" s="106">
        <f t="shared" si="20"/>
        <v>0.0384895254870656</v>
      </c>
      <c r="AD54" s="107">
        <f t="shared" si="21"/>
        <v>0.0384895254870656</v>
      </c>
      <c r="AE54" s="105">
        <f t="shared" si="22"/>
        <v>1.09573412698413</v>
      </c>
      <c r="AF54" s="106">
        <f t="shared" si="23"/>
        <v>1.96187475357286</v>
      </c>
      <c r="AG54" s="106">
        <f t="shared" si="39"/>
        <v>0.0250181915665926</v>
      </c>
      <c r="AH54" s="106">
        <f t="shared" si="40"/>
        <v>-0.0744668480756641</v>
      </c>
      <c r="AI54" s="107">
        <f t="shared" si="24"/>
        <v>-0.0494486565090715</v>
      </c>
      <c r="AJ54" s="105">
        <f t="shared" si="25"/>
        <v>0.783333333333333</v>
      </c>
      <c r="AK54" s="106">
        <f t="shared" si="26"/>
        <v>1.57582777768268</v>
      </c>
      <c r="AL54" s="106">
        <f t="shared" si="27"/>
        <v>0.254583333333333</v>
      </c>
      <c r="AM54" s="106">
        <f t="shared" si="41"/>
        <v>0</v>
      </c>
      <c r="AN54" s="107">
        <f t="shared" si="28"/>
        <v>0.254583333333333</v>
      </c>
      <c r="AO54" s="105">
        <f t="shared" si="42"/>
        <v>0.0384895254870656</v>
      </c>
      <c r="AP54" s="106">
        <f t="shared" si="16"/>
        <v>0.1512</v>
      </c>
      <c r="AQ54" s="107">
        <f t="shared" si="29"/>
        <v>0.0132</v>
      </c>
      <c r="AR54" s="105">
        <f t="shared" si="30"/>
        <v>0.408024202311327</v>
      </c>
      <c r="AS54" s="106">
        <f t="shared" si="31"/>
        <v>7.83333333333333</v>
      </c>
      <c r="AT54" s="107">
        <f t="shared" si="32"/>
        <v>95.0490656357696</v>
      </c>
    </row>
    <row r="55" spans="17:46">
      <c r="Q55">
        <v>48</v>
      </c>
      <c r="R55" s="105">
        <f t="shared" si="0"/>
        <v>10</v>
      </c>
      <c r="S55" s="106">
        <f t="shared" si="34"/>
        <v>0.8</v>
      </c>
      <c r="T55" s="106">
        <f t="shared" si="2"/>
        <v>4</v>
      </c>
      <c r="U55" s="107">
        <f t="shared" si="35"/>
        <v>2</v>
      </c>
      <c r="V55" s="105">
        <f t="shared" si="36"/>
        <v>2</v>
      </c>
      <c r="W55" s="106">
        <f t="shared" si="37"/>
        <v>0.714285714285714</v>
      </c>
      <c r="X55" s="107">
        <f t="shared" si="38"/>
        <v>0.285714285714286</v>
      </c>
      <c r="Y55" s="105">
        <f t="shared" si="18"/>
        <v>0.408163265306122</v>
      </c>
      <c r="Z55" s="106">
        <f t="shared" si="33"/>
        <v>3.20816326530612</v>
      </c>
      <c r="AA55" s="106">
        <f t="shared" si="19"/>
        <v>2.00346776970884</v>
      </c>
      <c r="AB55" s="106">
        <v>0</v>
      </c>
      <c r="AC55" s="106">
        <f t="shared" si="20"/>
        <v>0.0401388310426211</v>
      </c>
      <c r="AD55" s="107">
        <f t="shared" si="21"/>
        <v>0.0401388310426211</v>
      </c>
      <c r="AE55" s="105">
        <f t="shared" si="22"/>
        <v>1.14285714285714</v>
      </c>
      <c r="AF55" s="106">
        <f t="shared" si="23"/>
        <v>2.00346776970884</v>
      </c>
      <c r="AG55" s="106">
        <f t="shared" si="39"/>
        <v>0.0260902401777037</v>
      </c>
      <c r="AH55" s="106">
        <f t="shared" si="40"/>
        <v>-0.0760512490985506</v>
      </c>
      <c r="AI55" s="107">
        <f t="shared" si="24"/>
        <v>-0.0499610089208468</v>
      </c>
      <c r="AJ55" s="105">
        <f t="shared" si="25"/>
        <v>0.8</v>
      </c>
      <c r="AK55" s="106">
        <f t="shared" si="26"/>
        <v>1.60698382602809</v>
      </c>
      <c r="AL55" s="106">
        <f t="shared" si="27"/>
        <v>0.26</v>
      </c>
      <c r="AM55" s="106">
        <f t="shared" si="41"/>
        <v>0</v>
      </c>
      <c r="AN55" s="107">
        <f t="shared" si="28"/>
        <v>0.26</v>
      </c>
      <c r="AO55" s="105">
        <f t="shared" si="42"/>
        <v>0.0401388310426211</v>
      </c>
      <c r="AP55" s="106">
        <f t="shared" si="16"/>
        <v>0.1512</v>
      </c>
      <c r="AQ55" s="107">
        <f t="shared" si="29"/>
        <v>0.0132</v>
      </c>
      <c r="AR55" s="105">
        <f t="shared" si="30"/>
        <v>0.414577822121774</v>
      </c>
      <c r="AS55" s="106">
        <f t="shared" si="31"/>
        <v>8</v>
      </c>
      <c r="AT55" s="107">
        <f t="shared" si="32"/>
        <v>95.0731001496967</v>
      </c>
    </row>
    <row r="56" spans="17:46">
      <c r="Q56">
        <v>49</v>
      </c>
      <c r="R56" s="105">
        <f t="shared" si="0"/>
        <v>10</v>
      </c>
      <c r="S56" s="106">
        <f t="shared" si="34"/>
        <v>0.816666666666667</v>
      </c>
      <c r="T56" s="106">
        <f t="shared" si="2"/>
        <v>4</v>
      </c>
      <c r="U56" s="107">
        <f t="shared" si="35"/>
        <v>2.04166666666667</v>
      </c>
      <c r="V56" s="105">
        <f t="shared" si="36"/>
        <v>2</v>
      </c>
      <c r="W56" s="106">
        <f t="shared" si="37"/>
        <v>0.714285714285714</v>
      </c>
      <c r="X56" s="107">
        <f t="shared" si="38"/>
        <v>0.285714285714286</v>
      </c>
      <c r="Y56" s="105">
        <f t="shared" si="18"/>
        <v>0.408163265306122</v>
      </c>
      <c r="Z56" s="106">
        <f t="shared" si="33"/>
        <v>3.26649659863946</v>
      </c>
      <c r="AA56" s="106">
        <f t="shared" si="19"/>
        <v>2.0450637843451</v>
      </c>
      <c r="AB56" s="106">
        <v>0</v>
      </c>
      <c r="AC56" s="106">
        <f t="shared" si="20"/>
        <v>0.0418228588203989</v>
      </c>
      <c r="AD56" s="107">
        <f t="shared" si="21"/>
        <v>0.0418228588203989</v>
      </c>
      <c r="AE56" s="105">
        <f t="shared" si="22"/>
        <v>1.19097222222222</v>
      </c>
      <c r="AF56" s="106">
        <f t="shared" si="23"/>
        <v>2.0450637843451</v>
      </c>
      <c r="AG56" s="106">
        <f t="shared" si="39"/>
        <v>0.0271848582332593</v>
      </c>
      <c r="AH56" s="106">
        <f t="shared" si="40"/>
        <v>-0.0776356501214371</v>
      </c>
      <c r="AI56" s="107">
        <f t="shared" si="24"/>
        <v>-0.0504507918881778</v>
      </c>
      <c r="AJ56" s="105">
        <f t="shared" si="25"/>
        <v>0.816666666666667</v>
      </c>
      <c r="AK56" s="106">
        <f t="shared" si="26"/>
        <v>1.63814080400919</v>
      </c>
      <c r="AL56" s="106">
        <f t="shared" si="27"/>
        <v>0.265416666666667</v>
      </c>
      <c r="AM56" s="106">
        <f t="shared" si="41"/>
        <v>0</v>
      </c>
      <c r="AN56" s="107">
        <f t="shared" si="28"/>
        <v>0.265416666666667</v>
      </c>
      <c r="AO56" s="105">
        <f t="shared" si="42"/>
        <v>0.0418228588203989</v>
      </c>
      <c r="AP56" s="106">
        <f t="shared" si="16"/>
        <v>0.1512</v>
      </c>
      <c r="AQ56" s="107">
        <f t="shared" si="29"/>
        <v>0.0132</v>
      </c>
      <c r="AR56" s="105">
        <f t="shared" si="30"/>
        <v>0.421188733598888</v>
      </c>
      <c r="AS56" s="106">
        <f t="shared" si="31"/>
        <v>8.16666666666667</v>
      </c>
      <c r="AT56" s="107">
        <f t="shared" si="32"/>
        <v>95.095530677125</v>
      </c>
    </row>
    <row r="57" spans="17:46">
      <c r="Q57">
        <v>50</v>
      </c>
      <c r="R57" s="105">
        <f t="shared" si="0"/>
        <v>10</v>
      </c>
      <c r="S57" s="106">
        <f t="shared" si="34"/>
        <v>0.833333333333333</v>
      </c>
      <c r="T57" s="106">
        <f t="shared" si="2"/>
        <v>4</v>
      </c>
      <c r="U57" s="107">
        <f t="shared" si="35"/>
        <v>2.08333333333333</v>
      </c>
      <c r="V57" s="105">
        <f t="shared" si="36"/>
        <v>2</v>
      </c>
      <c r="W57" s="106">
        <f t="shared" si="37"/>
        <v>0.714285714285714</v>
      </c>
      <c r="X57" s="107">
        <f t="shared" si="38"/>
        <v>0.285714285714286</v>
      </c>
      <c r="Y57" s="105">
        <f t="shared" si="18"/>
        <v>0.408163265306122</v>
      </c>
      <c r="Z57" s="106">
        <f t="shared" si="33"/>
        <v>3.32482993197279</v>
      </c>
      <c r="AA57" s="106">
        <f t="shared" si="19"/>
        <v>2.08666261816325</v>
      </c>
      <c r="AB57" s="106">
        <v>0</v>
      </c>
      <c r="AC57" s="106">
        <f t="shared" si="20"/>
        <v>0.0435416088203989</v>
      </c>
      <c r="AD57" s="107">
        <f t="shared" si="21"/>
        <v>0.0435416088203989</v>
      </c>
      <c r="AE57" s="105">
        <f t="shared" si="22"/>
        <v>1.24007936507937</v>
      </c>
      <c r="AF57" s="106">
        <f t="shared" si="23"/>
        <v>2.08666261816325</v>
      </c>
      <c r="AG57" s="106">
        <f t="shared" si="39"/>
        <v>0.0283020457332593</v>
      </c>
      <c r="AH57" s="106">
        <f t="shared" si="40"/>
        <v>-0.0792200511443235</v>
      </c>
      <c r="AI57" s="107">
        <f t="shared" si="24"/>
        <v>-0.0509180054110643</v>
      </c>
      <c r="AJ57" s="105">
        <f t="shared" si="25"/>
        <v>0.833333333333333</v>
      </c>
      <c r="AK57" s="106">
        <f t="shared" si="26"/>
        <v>1.66929865957183</v>
      </c>
      <c r="AL57" s="106">
        <f t="shared" si="27"/>
        <v>0.270833333333333</v>
      </c>
      <c r="AM57" s="106">
        <f t="shared" si="41"/>
        <v>0</v>
      </c>
      <c r="AN57" s="107">
        <f t="shared" si="28"/>
        <v>0.270833333333333</v>
      </c>
      <c r="AO57" s="105">
        <f t="shared" si="42"/>
        <v>0.0435416088203989</v>
      </c>
      <c r="AP57" s="106">
        <f t="shared" si="16"/>
        <v>0.1512</v>
      </c>
      <c r="AQ57" s="107">
        <f t="shared" si="29"/>
        <v>0.0132</v>
      </c>
      <c r="AR57" s="105">
        <f t="shared" si="30"/>
        <v>0.427856936742668</v>
      </c>
      <c r="AS57" s="106">
        <f t="shared" si="31"/>
        <v>8.33333333333333</v>
      </c>
      <c r="AT57" s="107">
        <f t="shared" si="32"/>
        <v>95.1164519482699</v>
      </c>
    </row>
    <row r="58" spans="17:46">
      <c r="Q58">
        <v>51</v>
      </c>
      <c r="R58" s="105">
        <f t="shared" si="0"/>
        <v>10</v>
      </c>
      <c r="S58" s="106">
        <f t="shared" si="34"/>
        <v>0.85</v>
      </c>
      <c r="T58" s="106">
        <f t="shared" si="2"/>
        <v>4</v>
      </c>
      <c r="U58" s="107">
        <f t="shared" si="35"/>
        <v>2.125</v>
      </c>
      <c r="V58" s="105">
        <f t="shared" si="36"/>
        <v>2</v>
      </c>
      <c r="W58" s="106">
        <f t="shared" si="37"/>
        <v>0.714285714285714</v>
      </c>
      <c r="X58" s="107">
        <f t="shared" si="38"/>
        <v>0.285714285714286</v>
      </c>
      <c r="Y58" s="105">
        <f t="shared" si="18"/>
        <v>0.408163265306122</v>
      </c>
      <c r="Z58" s="106">
        <f t="shared" si="33"/>
        <v>3.38316326530612</v>
      </c>
      <c r="AA58" s="106">
        <f t="shared" si="19"/>
        <v>2.12826410585296</v>
      </c>
      <c r="AB58" s="106">
        <v>0</v>
      </c>
      <c r="AC58" s="106">
        <f t="shared" si="20"/>
        <v>0.0452950810426211</v>
      </c>
      <c r="AD58" s="107">
        <f t="shared" si="21"/>
        <v>0.0452950810426211</v>
      </c>
      <c r="AE58" s="105">
        <f t="shared" si="22"/>
        <v>1.29017857142857</v>
      </c>
      <c r="AF58" s="106">
        <f t="shared" si="23"/>
        <v>2.12826410585296</v>
      </c>
      <c r="AG58" s="106">
        <f t="shared" si="39"/>
        <v>0.0294418026777037</v>
      </c>
      <c r="AH58" s="106">
        <f t="shared" si="40"/>
        <v>-0.08080445216721</v>
      </c>
      <c r="AI58" s="107">
        <f t="shared" si="24"/>
        <v>-0.0513626494895063</v>
      </c>
      <c r="AJ58" s="105">
        <f t="shared" si="25"/>
        <v>0.85</v>
      </c>
      <c r="AK58" s="106">
        <f t="shared" si="26"/>
        <v>1.70045734447565</v>
      </c>
      <c r="AL58" s="106">
        <f t="shared" si="27"/>
        <v>0.27625</v>
      </c>
      <c r="AM58" s="106">
        <f t="shared" si="41"/>
        <v>0</v>
      </c>
      <c r="AN58" s="107">
        <f t="shared" si="28"/>
        <v>0.27625</v>
      </c>
      <c r="AO58" s="105">
        <f t="shared" si="42"/>
        <v>0.0452950810426211</v>
      </c>
      <c r="AP58" s="106">
        <f t="shared" si="16"/>
        <v>0.1512</v>
      </c>
      <c r="AQ58" s="107">
        <f t="shared" si="29"/>
        <v>0.0132</v>
      </c>
      <c r="AR58" s="105">
        <f t="shared" si="30"/>
        <v>0.434582431553115</v>
      </c>
      <c r="AS58" s="106">
        <f t="shared" si="31"/>
        <v>8.5</v>
      </c>
      <c r="AT58" s="107">
        <f t="shared" si="32"/>
        <v>95.1359514013956</v>
      </c>
    </row>
    <row r="59" spans="17:46">
      <c r="Q59">
        <v>52</v>
      </c>
      <c r="R59" s="105">
        <f t="shared" si="0"/>
        <v>10</v>
      </c>
      <c r="S59" s="106">
        <f t="shared" si="34"/>
        <v>0.866666666666667</v>
      </c>
      <c r="T59" s="106">
        <f t="shared" si="2"/>
        <v>4</v>
      </c>
      <c r="U59" s="107">
        <f t="shared" si="35"/>
        <v>2.16666666666667</v>
      </c>
      <c r="V59" s="105">
        <f t="shared" si="36"/>
        <v>2</v>
      </c>
      <c r="W59" s="106">
        <f t="shared" si="37"/>
        <v>0.714285714285714</v>
      </c>
      <c r="X59" s="107">
        <f t="shared" si="38"/>
        <v>0.285714285714286</v>
      </c>
      <c r="Y59" s="105">
        <f t="shared" si="18"/>
        <v>0.408163265306122</v>
      </c>
      <c r="Z59" s="106">
        <f t="shared" si="33"/>
        <v>3.44149659863946</v>
      </c>
      <c r="AA59" s="106">
        <f t="shared" si="19"/>
        <v>2.16986809477133</v>
      </c>
      <c r="AB59" s="106">
        <v>0</v>
      </c>
      <c r="AC59" s="106">
        <f t="shared" si="20"/>
        <v>0.0470832754870656</v>
      </c>
      <c r="AD59" s="107">
        <f t="shared" si="21"/>
        <v>0.0470832754870656</v>
      </c>
      <c r="AE59" s="105">
        <f t="shared" si="22"/>
        <v>1.34126984126984</v>
      </c>
      <c r="AF59" s="106">
        <f t="shared" si="23"/>
        <v>2.16986809477133</v>
      </c>
      <c r="AG59" s="106">
        <f t="shared" si="39"/>
        <v>0.0306041290665926</v>
      </c>
      <c r="AH59" s="106">
        <f t="shared" si="40"/>
        <v>-0.0823888531900965</v>
      </c>
      <c r="AI59" s="107">
        <f t="shared" si="24"/>
        <v>-0.0517847241235039</v>
      </c>
      <c r="AJ59" s="105">
        <f t="shared" si="25"/>
        <v>0.866666666666667</v>
      </c>
      <c r="AK59" s="106">
        <f t="shared" si="26"/>
        <v>1.7316168139512</v>
      </c>
      <c r="AL59" s="106">
        <f t="shared" si="27"/>
        <v>0.281666666666667</v>
      </c>
      <c r="AM59" s="106">
        <f t="shared" si="41"/>
        <v>0</v>
      </c>
      <c r="AN59" s="107">
        <f t="shared" si="28"/>
        <v>0.281666666666667</v>
      </c>
      <c r="AO59" s="105">
        <f t="shared" si="42"/>
        <v>0.0470832754870656</v>
      </c>
      <c r="AP59" s="106">
        <f t="shared" si="16"/>
        <v>0.1512</v>
      </c>
      <c r="AQ59" s="107">
        <f t="shared" si="29"/>
        <v>0.0132</v>
      </c>
      <c r="AR59" s="105">
        <f t="shared" si="30"/>
        <v>0.441365218030228</v>
      </c>
      <c r="AS59" s="106">
        <f t="shared" si="31"/>
        <v>8.66666666666667</v>
      </c>
      <c r="AT59" s="107">
        <f t="shared" si="32"/>
        <v>95.1541098711809</v>
      </c>
    </row>
    <row r="60" spans="17:46">
      <c r="Q60">
        <v>53</v>
      </c>
      <c r="R60" s="105">
        <f t="shared" si="0"/>
        <v>10</v>
      </c>
      <c r="S60" s="106">
        <f t="shared" si="34"/>
        <v>0.883333333333333</v>
      </c>
      <c r="T60" s="106">
        <f t="shared" si="2"/>
        <v>4</v>
      </c>
      <c r="U60" s="107">
        <f t="shared" si="35"/>
        <v>2.20833333333333</v>
      </c>
      <c r="V60" s="105">
        <f t="shared" si="36"/>
        <v>2</v>
      </c>
      <c r="W60" s="106">
        <f t="shared" si="37"/>
        <v>0.714285714285714</v>
      </c>
      <c r="X60" s="107">
        <f t="shared" si="38"/>
        <v>0.285714285714286</v>
      </c>
      <c r="Y60" s="105">
        <f t="shared" si="18"/>
        <v>0.408163265306122</v>
      </c>
      <c r="Z60" s="106">
        <f t="shared" si="33"/>
        <v>3.49982993197279</v>
      </c>
      <c r="AA60" s="106">
        <f t="shared" si="19"/>
        <v>2.21147444375313</v>
      </c>
      <c r="AB60" s="106">
        <v>0</v>
      </c>
      <c r="AC60" s="106">
        <f t="shared" si="20"/>
        <v>0.0489061921537322</v>
      </c>
      <c r="AD60" s="107">
        <f t="shared" si="21"/>
        <v>0.0489061921537322</v>
      </c>
      <c r="AE60" s="105">
        <f t="shared" si="22"/>
        <v>1.39335317460317</v>
      </c>
      <c r="AF60" s="106">
        <f t="shared" si="23"/>
        <v>2.21147444375313</v>
      </c>
      <c r="AG60" s="106">
        <f t="shared" si="39"/>
        <v>0.0317890248999259</v>
      </c>
      <c r="AH60" s="106">
        <f t="shared" si="40"/>
        <v>-0.0839732542129829</v>
      </c>
      <c r="AI60" s="107">
        <f t="shared" si="24"/>
        <v>-0.052184229313057</v>
      </c>
      <c r="AJ60" s="105">
        <f t="shared" si="25"/>
        <v>0.883333333333333</v>
      </c>
      <c r="AK60" s="106">
        <f t="shared" si="26"/>
        <v>1.76277702639338</v>
      </c>
      <c r="AL60" s="106">
        <f t="shared" si="27"/>
        <v>0.287083333333333</v>
      </c>
      <c r="AM60" s="106">
        <f t="shared" si="41"/>
        <v>0</v>
      </c>
      <c r="AN60" s="107">
        <f t="shared" si="28"/>
        <v>0.287083333333333</v>
      </c>
      <c r="AO60" s="105">
        <f t="shared" si="42"/>
        <v>0.0489061921537322</v>
      </c>
      <c r="AP60" s="106">
        <f t="shared" si="16"/>
        <v>0.1512</v>
      </c>
      <c r="AQ60" s="107">
        <f t="shared" si="29"/>
        <v>0.0132</v>
      </c>
      <c r="AR60" s="105">
        <f t="shared" si="30"/>
        <v>0.448205296174009</v>
      </c>
      <c r="AS60" s="106">
        <f t="shared" si="31"/>
        <v>8.83333333333333</v>
      </c>
      <c r="AT60" s="107">
        <f t="shared" si="32"/>
        <v>95.17100220055</v>
      </c>
    </row>
    <row r="61" spans="17:46">
      <c r="Q61">
        <v>54</v>
      </c>
      <c r="R61" s="105">
        <f t="shared" si="0"/>
        <v>10</v>
      </c>
      <c r="S61" s="106">
        <f t="shared" si="34"/>
        <v>0.9</v>
      </c>
      <c r="T61" s="106">
        <f t="shared" si="2"/>
        <v>4</v>
      </c>
      <c r="U61" s="107">
        <f t="shared" si="35"/>
        <v>2.25</v>
      </c>
      <c r="V61" s="105">
        <f t="shared" si="36"/>
        <v>2</v>
      </c>
      <c r="W61" s="106">
        <f t="shared" si="37"/>
        <v>0.714285714285714</v>
      </c>
      <c r="X61" s="107">
        <f t="shared" si="38"/>
        <v>0.285714285714286</v>
      </c>
      <c r="Y61" s="105">
        <f t="shared" si="18"/>
        <v>0.408163265306122</v>
      </c>
      <c r="Z61" s="106">
        <f t="shared" si="33"/>
        <v>3.55816326530612</v>
      </c>
      <c r="AA61" s="106">
        <f t="shared" si="19"/>
        <v>2.2530830220527</v>
      </c>
      <c r="AB61" s="106">
        <v>0</v>
      </c>
      <c r="AC61" s="106">
        <f t="shared" si="20"/>
        <v>0.0507638310426211</v>
      </c>
      <c r="AD61" s="107">
        <f t="shared" si="21"/>
        <v>0.0507638310426211</v>
      </c>
      <c r="AE61" s="105">
        <f t="shared" si="22"/>
        <v>1.44642857142857</v>
      </c>
      <c r="AF61" s="106">
        <f t="shared" si="23"/>
        <v>2.2530830220527</v>
      </c>
      <c r="AG61" s="106">
        <f t="shared" si="39"/>
        <v>0.0329964901777037</v>
      </c>
      <c r="AH61" s="106">
        <f t="shared" si="40"/>
        <v>-0.0855576552358694</v>
      </c>
      <c r="AI61" s="107">
        <f t="shared" si="24"/>
        <v>-0.0525611650581657</v>
      </c>
      <c r="AJ61" s="105">
        <f t="shared" si="25"/>
        <v>0.9</v>
      </c>
      <c r="AK61" s="106">
        <f t="shared" si="26"/>
        <v>1.7939379430868</v>
      </c>
      <c r="AL61" s="106">
        <f t="shared" si="27"/>
        <v>0.2925</v>
      </c>
      <c r="AM61" s="106">
        <f t="shared" si="41"/>
        <v>0</v>
      </c>
      <c r="AN61" s="107">
        <f t="shared" si="28"/>
        <v>0.2925</v>
      </c>
      <c r="AO61" s="105">
        <f t="shared" si="42"/>
        <v>0.0507638310426211</v>
      </c>
      <c r="AP61" s="106">
        <f t="shared" si="16"/>
        <v>0.1512</v>
      </c>
      <c r="AQ61" s="107">
        <f t="shared" si="29"/>
        <v>0.0132</v>
      </c>
      <c r="AR61" s="105">
        <f t="shared" si="30"/>
        <v>0.455102665984455</v>
      </c>
      <c r="AS61" s="106">
        <f t="shared" si="31"/>
        <v>9</v>
      </c>
      <c r="AT61" s="107">
        <f t="shared" si="32"/>
        <v>95.1866977857181</v>
      </c>
    </row>
    <row r="62" spans="17:46">
      <c r="Q62">
        <v>55</v>
      </c>
      <c r="R62" s="105">
        <f t="shared" si="0"/>
        <v>10</v>
      </c>
      <c r="S62" s="106">
        <f t="shared" si="34"/>
        <v>0.916666666666667</v>
      </c>
      <c r="T62" s="106">
        <f t="shared" si="2"/>
        <v>4</v>
      </c>
      <c r="U62" s="107">
        <f t="shared" si="35"/>
        <v>2.29166666666667</v>
      </c>
      <c r="V62" s="105">
        <f t="shared" si="36"/>
        <v>2</v>
      </c>
      <c r="W62" s="106">
        <f t="shared" si="37"/>
        <v>0.714285714285714</v>
      </c>
      <c r="X62" s="107">
        <f t="shared" si="38"/>
        <v>0.285714285714286</v>
      </c>
      <c r="Y62" s="105">
        <f t="shared" si="18"/>
        <v>0.408163265306122</v>
      </c>
      <c r="Z62" s="106">
        <f t="shared" si="33"/>
        <v>3.61649659863946</v>
      </c>
      <c r="AA62" s="106">
        <f t="shared" si="19"/>
        <v>2.29469370840058</v>
      </c>
      <c r="AB62" s="106">
        <v>0</v>
      </c>
      <c r="AC62" s="106">
        <f t="shared" si="20"/>
        <v>0.0526561921537322</v>
      </c>
      <c r="AD62" s="107">
        <f t="shared" si="21"/>
        <v>0.0526561921537322</v>
      </c>
      <c r="AE62" s="105">
        <f t="shared" si="22"/>
        <v>1.50049603174603</v>
      </c>
      <c r="AF62" s="106">
        <f t="shared" si="23"/>
        <v>2.29469370840058</v>
      </c>
      <c r="AG62" s="106">
        <f t="shared" si="39"/>
        <v>0.0342265248999259</v>
      </c>
      <c r="AH62" s="106">
        <f t="shared" si="40"/>
        <v>-0.0871420562587559</v>
      </c>
      <c r="AI62" s="107">
        <f t="shared" si="24"/>
        <v>-0.0529155313588299</v>
      </c>
      <c r="AJ62" s="105">
        <f t="shared" si="25"/>
        <v>0.916666666666667</v>
      </c>
      <c r="AK62" s="106">
        <f t="shared" si="26"/>
        <v>1.82509952795927</v>
      </c>
      <c r="AL62" s="106">
        <f t="shared" si="27"/>
        <v>0.297916666666667</v>
      </c>
      <c r="AM62" s="106">
        <f t="shared" si="41"/>
        <v>0</v>
      </c>
      <c r="AN62" s="107">
        <f t="shared" si="28"/>
        <v>0.297916666666667</v>
      </c>
      <c r="AO62" s="105">
        <f t="shared" si="42"/>
        <v>0.0526561921537322</v>
      </c>
      <c r="AP62" s="106">
        <f t="shared" si="16"/>
        <v>0.1512</v>
      </c>
      <c r="AQ62" s="107">
        <f t="shared" si="29"/>
        <v>0.0132</v>
      </c>
      <c r="AR62" s="105">
        <f t="shared" si="30"/>
        <v>0.462057327461569</v>
      </c>
      <c r="AS62" s="106">
        <f t="shared" si="31"/>
        <v>9.16666666666667</v>
      </c>
      <c r="AT62" s="107">
        <f t="shared" si="32"/>
        <v>95.2012610628019</v>
      </c>
    </row>
    <row r="63" spans="17:46">
      <c r="Q63">
        <v>56</v>
      </c>
      <c r="R63" s="105">
        <f t="shared" si="0"/>
        <v>10</v>
      </c>
      <c r="S63" s="106">
        <f t="shared" si="34"/>
        <v>0.933333333333333</v>
      </c>
      <c r="T63" s="106">
        <f t="shared" si="2"/>
        <v>4</v>
      </c>
      <c r="U63" s="107">
        <f t="shared" si="35"/>
        <v>2.33333333333333</v>
      </c>
      <c r="V63" s="105">
        <f t="shared" si="36"/>
        <v>2</v>
      </c>
      <c r="W63" s="106">
        <f t="shared" si="37"/>
        <v>0.714285714285714</v>
      </c>
      <c r="X63" s="107">
        <f t="shared" si="38"/>
        <v>0.285714285714286</v>
      </c>
      <c r="Y63" s="105">
        <f t="shared" si="18"/>
        <v>0.408163265306122</v>
      </c>
      <c r="Z63" s="106">
        <f t="shared" si="33"/>
        <v>3.67482993197279</v>
      </c>
      <c r="AA63" s="106">
        <f t="shared" si="19"/>
        <v>2.33630639016088</v>
      </c>
      <c r="AB63" s="106">
        <v>0</v>
      </c>
      <c r="AC63" s="106">
        <f t="shared" si="20"/>
        <v>0.0545832754870656</v>
      </c>
      <c r="AD63" s="107">
        <f t="shared" si="21"/>
        <v>0.0545832754870656</v>
      </c>
      <c r="AE63" s="105">
        <f t="shared" si="22"/>
        <v>1.55555555555556</v>
      </c>
      <c r="AF63" s="106">
        <f t="shared" si="23"/>
        <v>2.33630639016088</v>
      </c>
      <c r="AG63" s="106">
        <f t="shared" si="39"/>
        <v>0.0354791290665926</v>
      </c>
      <c r="AH63" s="106">
        <f t="shared" si="40"/>
        <v>-0.0887264572816424</v>
      </c>
      <c r="AI63" s="107">
        <f t="shared" si="24"/>
        <v>-0.0532473282150497</v>
      </c>
      <c r="AJ63" s="105">
        <f t="shared" si="25"/>
        <v>0.933333333333333</v>
      </c>
      <c r="AK63" s="106">
        <f t="shared" si="26"/>
        <v>1.85626174736007</v>
      </c>
      <c r="AL63" s="106">
        <f t="shared" si="27"/>
        <v>0.303333333333333</v>
      </c>
      <c r="AM63" s="106">
        <f t="shared" si="41"/>
        <v>0</v>
      </c>
      <c r="AN63" s="107">
        <f t="shared" si="28"/>
        <v>0.303333333333333</v>
      </c>
      <c r="AO63" s="105">
        <f t="shared" si="42"/>
        <v>0.0545832754870656</v>
      </c>
      <c r="AP63" s="106">
        <f t="shared" si="16"/>
        <v>0.1512</v>
      </c>
      <c r="AQ63" s="107">
        <f t="shared" si="29"/>
        <v>0.0132</v>
      </c>
      <c r="AR63" s="105">
        <f t="shared" si="30"/>
        <v>0.469069280605349</v>
      </c>
      <c r="AS63" s="106">
        <f t="shared" si="31"/>
        <v>9.33333333333333</v>
      </c>
      <c r="AT63" s="107">
        <f t="shared" si="32"/>
        <v>95.2147519431782</v>
      </c>
    </row>
    <row r="64" spans="17:46">
      <c r="Q64">
        <v>57</v>
      </c>
      <c r="R64" s="105">
        <f t="shared" si="0"/>
        <v>10</v>
      </c>
      <c r="S64" s="106">
        <f t="shared" si="34"/>
        <v>0.95</v>
      </c>
      <c r="T64" s="106">
        <f t="shared" si="2"/>
        <v>4</v>
      </c>
      <c r="U64" s="107">
        <f t="shared" si="35"/>
        <v>2.375</v>
      </c>
      <c r="V64" s="105">
        <f t="shared" si="36"/>
        <v>2</v>
      </c>
      <c r="W64" s="106">
        <f t="shared" si="37"/>
        <v>0.714285714285714</v>
      </c>
      <c r="X64" s="107">
        <f t="shared" si="38"/>
        <v>0.285714285714286</v>
      </c>
      <c r="Y64" s="105">
        <f t="shared" si="18"/>
        <v>0.408163265306122</v>
      </c>
      <c r="Z64" s="106">
        <f t="shared" si="33"/>
        <v>3.73316326530612</v>
      </c>
      <c r="AA64" s="106">
        <f t="shared" si="19"/>
        <v>2.37792096257679</v>
      </c>
      <c r="AB64" s="106">
        <v>0</v>
      </c>
      <c r="AC64" s="106">
        <f t="shared" si="20"/>
        <v>0.0565450810426211</v>
      </c>
      <c r="AD64" s="107">
        <f t="shared" si="21"/>
        <v>0.0565450810426211</v>
      </c>
      <c r="AE64" s="105">
        <f t="shared" si="22"/>
        <v>1.61160714285714</v>
      </c>
      <c r="AF64" s="106">
        <f t="shared" si="23"/>
        <v>2.37792096257679</v>
      </c>
      <c r="AG64" s="106">
        <f t="shared" si="39"/>
        <v>0.0367543026777037</v>
      </c>
      <c r="AH64" s="106">
        <f t="shared" si="40"/>
        <v>-0.0903108583045288</v>
      </c>
      <c r="AI64" s="107">
        <f t="shared" si="24"/>
        <v>-0.0535565556268251</v>
      </c>
      <c r="AJ64" s="105">
        <f t="shared" si="25"/>
        <v>0.95</v>
      </c>
      <c r="AK64" s="106">
        <f t="shared" si="26"/>
        <v>1.88742456986016</v>
      </c>
      <c r="AL64" s="106">
        <f t="shared" si="27"/>
        <v>0.30875</v>
      </c>
      <c r="AM64" s="106">
        <f t="shared" si="41"/>
        <v>0</v>
      </c>
      <c r="AN64" s="107">
        <f t="shared" si="28"/>
        <v>0.30875</v>
      </c>
      <c r="AO64" s="105">
        <f t="shared" si="42"/>
        <v>0.0565450810426211</v>
      </c>
      <c r="AP64" s="106">
        <f t="shared" si="16"/>
        <v>0.1512</v>
      </c>
      <c r="AQ64" s="107">
        <f t="shared" si="29"/>
        <v>0.0132</v>
      </c>
      <c r="AR64" s="105">
        <f t="shared" si="30"/>
        <v>0.476138525415796</v>
      </c>
      <c r="AS64" s="106">
        <f t="shared" si="31"/>
        <v>9.5</v>
      </c>
      <c r="AT64" s="107">
        <f t="shared" si="32"/>
        <v>95.2272262037786</v>
      </c>
    </row>
    <row r="65" spans="17:46">
      <c r="Q65">
        <v>58</v>
      </c>
      <c r="R65" s="105">
        <f t="shared" si="0"/>
        <v>10</v>
      </c>
      <c r="S65" s="106">
        <f t="shared" si="34"/>
        <v>0.966666666666667</v>
      </c>
      <c r="T65" s="106">
        <f t="shared" si="2"/>
        <v>4</v>
      </c>
      <c r="U65" s="107">
        <f t="shared" si="35"/>
        <v>2.41666666666667</v>
      </c>
      <c r="V65" s="105">
        <f t="shared" si="36"/>
        <v>2</v>
      </c>
      <c r="W65" s="106">
        <f t="shared" si="37"/>
        <v>0.714285714285714</v>
      </c>
      <c r="X65" s="107">
        <f t="shared" si="38"/>
        <v>0.285714285714286</v>
      </c>
      <c r="Y65" s="105">
        <f t="shared" si="18"/>
        <v>0.408163265306122</v>
      </c>
      <c r="Z65" s="106">
        <f t="shared" si="33"/>
        <v>3.79149659863946</v>
      </c>
      <c r="AA65" s="106">
        <f t="shared" si="19"/>
        <v>2.41953732809392</v>
      </c>
      <c r="AB65" s="106">
        <v>0</v>
      </c>
      <c r="AC65" s="106">
        <f t="shared" si="20"/>
        <v>0.0585416088203989</v>
      </c>
      <c r="AD65" s="107">
        <f t="shared" si="21"/>
        <v>0.0585416088203989</v>
      </c>
      <c r="AE65" s="105">
        <f t="shared" si="22"/>
        <v>1.66865079365079</v>
      </c>
      <c r="AF65" s="106">
        <f t="shared" si="23"/>
        <v>2.41953732809392</v>
      </c>
      <c r="AG65" s="106">
        <f t="shared" si="39"/>
        <v>0.0380520457332593</v>
      </c>
      <c r="AH65" s="106">
        <f t="shared" si="40"/>
        <v>-0.0918952593274153</v>
      </c>
      <c r="AI65" s="107">
        <f t="shared" si="24"/>
        <v>-0.053843213594156</v>
      </c>
      <c r="AJ65" s="105">
        <f t="shared" si="25"/>
        <v>0.966666666666667</v>
      </c>
      <c r="AK65" s="106">
        <f t="shared" si="26"/>
        <v>1.91858796607187</v>
      </c>
      <c r="AL65" s="106">
        <f t="shared" si="27"/>
        <v>0.314166666666667</v>
      </c>
      <c r="AM65" s="106">
        <f t="shared" si="41"/>
        <v>0</v>
      </c>
      <c r="AN65" s="107">
        <f t="shared" si="28"/>
        <v>0.314166666666667</v>
      </c>
      <c r="AO65" s="105">
        <f t="shared" si="42"/>
        <v>0.0585416088203989</v>
      </c>
      <c r="AP65" s="106">
        <f t="shared" si="16"/>
        <v>0.1512</v>
      </c>
      <c r="AQ65" s="107">
        <f t="shared" si="29"/>
        <v>0.0132</v>
      </c>
      <c r="AR65" s="105">
        <f t="shared" si="30"/>
        <v>0.48326506189291</v>
      </c>
      <c r="AS65" s="106">
        <f t="shared" si="31"/>
        <v>9.66666666666667</v>
      </c>
      <c r="AT65" s="107">
        <f t="shared" si="32"/>
        <v>95.2387358376696</v>
      </c>
    </row>
    <row r="66" spans="17:46">
      <c r="Q66">
        <v>59</v>
      </c>
      <c r="R66" s="105">
        <f t="shared" si="0"/>
        <v>10</v>
      </c>
      <c r="S66" s="106">
        <f t="shared" si="34"/>
        <v>0.983333333333333</v>
      </c>
      <c r="T66" s="106">
        <f t="shared" si="2"/>
        <v>4</v>
      </c>
      <c r="U66" s="107">
        <f t="shared" si="35"/>
        <v>2.45833333333333</v>
      </c>
      <c r="V66" s="105">
        <f t="shared" si="36"/>
        <v>2</v>
      </c>
      <c r="W66" s="106">
        <f t="shared" si="37"/>
        <v>0.714285714285714</v>
      </c>
      <c r="X66" s="107">
        <f t="shared" si="38"/>
        <v>0.285714285714286</v>
      </c>
      <c r="Y66" s="105">
        <f t="shared" si="18"/>
        <v>0.408163265306122</v>
      </c>
      <c r="Z66" s="106">
        <f t="shared" si="33"/>
        <v>3.84982993197279</v>
      </c>
      <c r="AA66" s="106">
        <f t="shared" si="19"/>
        <v>2.46115539575214</v>
      </c>
      <c r="AB66" s="106">
        <v>0</v>
      </c>
      <c r="AC66" s="106">
        <f t="shared" si="20"/>
        <v>0.0605728588203989</v>
      </c>
      <c r="AD66" s="107">
        <f t="shared" si="21"/>
        <v>0.0605728588203989</v>
      </c>
      <c r="AE66" s="105">
        <f t="shared" si="22"/>
        <v>1.72668650793651</v>
      </c>
      <c r="AF66" s="106">
        <f t="shared" si="23"/>
        <v>2.46115539575214</v>
      </c>
      <c r="AG66" s="106">
        <f t="shared" si="39"/>
        <v>0.0393723582332593</v>
      </c>
      <c r="AH66" s="106">
        <f t="shared" si="40"/>
        <v>-0.0934796603503018</v>
      </c>
      <c r="AI66" s="107">
        <f t="shared" si="24"/>
        <v>-0.0541073021170425</v>
      </c>
      <c r="AJ66" s="105">
        <f t="shared" si="25"/>
        <v>0.983333333333333</v>
      </c>
      <c r="AK66" s="106">
        <f t="shared" si="26"/>
        <v>1.94975190848585</v>
      </c>
      <c r="AL66" s="106">
        <f t="shared" si="27"/>
        <v>0.319583333333333</v>
      </c>
      <c r="AM66" s="106">
        <f t="shared" si="41"/>
        <v>0</v>
      </c>
      <c r="AN66" s="107">
        <f t="shared" si="28"/>
        <v>0.319583333333333</v>
      </c>
      <c r="AO66" s="105">
        <f t="shared" si="42"/>
        <v>0.0605728588203989</v>
      </c>
      <c r="AP66" s="106">
        <f t="shared" si="16"/>
        <v>0.1512</v>
      </c>
      <c r="AQ66" s="107">
        <f t="shared" si="29"/>
        <v>0.0132</v>
      </c>
      <c r="AR66" s="105">
        <f t="shared" si="30"/>
        <v>0.49044889003669</v>
      </c>
      <c r="AS66" s="106">
        <f t="shared" si="31"/>
        <v>9.83333333333333</v>
      </c>
      <c r="AT66" s="107">
        <f t="shared" si="32"/>
        <v>95.2493293695555</v>
      </c>
    </row>
    <row r="67" spans="17:46">
      <c r="Q67">
        <v>60</v>
      </c>
      <c r="R67" s="105">
        <f t="shared" si="0"/>
        <v>10</v>
      </c>
      <c r="S67" s="106">
        <f t="shared" si="34"/>
        <v>1</v>
      </c>
      <c r="T67" s="106">
        <f t="shared" si="2"/>
        <v>4</v>
      </c>
      <c r="U67" s="107">
        <f t="shared" si="35"/>
        <v>2.5</v>
      </c>
      <c r="V67" s="105">
        <f t="shared" si="36"/>
        <v>2</v>
      </c>
      <c r="W67" s="106">
        <f t="shared" si="37"/>
        <v>0.714285714285714</v>
      </c>
      <c r="X67" s="107">
        <f t="shared" si="38"/>
        <v>0.285714285714286</v>
      </c>
      <c r="Y67" s="105">
        <f t="shared" si="18"/>
        <v>0.408163265306122</v>
      </c>
      <c r="Z67" s="106">
        <f t="shared" si="33"/>
        <v>3.90816326530612</v>
      </c>
      <c r="AA67" s="106">
        <f t="shared" si="19"/>
        <v>2.50277508063791</v>
      </c>
      <c r="AB67" s="106">
        <v>0</v>
      </c>
      <c r="AC67" s="106">
        <f t="shared" si="20"/>
        <v>0.0626388310426211</v>
      </c>
      <c r="AD67" s="107">
        <f t="shared" si="21"/>
        <v>0.0626388310426211</v>
      </c>
      <c r="AE67" s="105">
        <f t="shared" si="22"/>
        <v>1.78571428571429</v>
      </c>
      <c r="AF67" s="106">
        <f t="shared" si="23"/>
        <v>2.50277508063791</v>
      </c>
      <c r="AG67" s="106">
        <f t="shared" si="39"/>
        <v>0.0407152401777037</v>
      </c>
      <c r="AH67" s="106">
        <f t="shared" si="40"/>
        <v>-0.0950640613731882</v>
      </c>
      <c r="AI67" s="107">
        <f t="shared" si="24"/>
        <v>-0.0543488211954845</v>
      </c>
      <c r="AJ67" s="105">
        <f t="shared" si="25"/>
        <v>1</v>
      </c>
      <c r="AK67" s="106">
        <f t="shared" si="26"/>
        <v>1.98091637132341</v>
      </c>
      <c r="AL67" s="106">
        <f t="shared" si="27"/>
        <v>0.325</v>
      </c>
      <c r="AM67" s="106">
        <f t="shared" si="41"/>
        <v>0</v>
      </c>
      <c r="AN67" s="107">
        <f t="shared" si="28"/>
        <v>0.325</v>
      </c>
      <c r="AO67" s="105">
        <f t="shared" si="42"/>
        <v>0.0626388310426211</v>
      </c>
      <c r="AP67" s="106">
        <f t="shared" si="16"/>
        <v>0.1512</v>
      </c>
      <c r="AQ67" s="107">
        <f t="shared" si="29"/>
        <v>0.0132</v>
      </c>
      <c r="AR67" s="105">
        <f t="shared" si="30"/>
        <v>0.497690009847137</v>
      </c>
      <c r="AS67" s="106">
        <f t="shared" si="31"/>
        <v>10</v>
      </c>
      <c r="AT67" s="107">
        <f t="shared" si="32"/>
        <v>95.25905214023</v>
      </c>
    </row>
    <row r="68" spans="17:46">
      <c r="Q68">
        <v>61</v>
      </c>
      <c r="R68" s="105">
        <f t="shared" si="0"/>
        <v>10</v>
      </c>
      <c r="S68" s="106">
        <f t="shared" si="34"/>
        <v>1.01666666666667</v>
      </c>
      <c r="T68" s="106">
        <f t="shared" si="2"/>
        <v>4</v>
      </c>
      <c r="U68" s="107">
        <f t="shared" si="35"/>
        <v>2.54166666666667</v>
      </c>
      <c r="V68" s="105">
        <f t="shared" si="36"/>
        <v>2</v>
      </c>
      <c r="W68" s="106">
        <f t="shared" si="37"/>
        <v>0.714285714285714</v>
      </c>
      <c r="X68" s="107">
        <f t="shared" si="38"/>
        <v>0.285714285714286</v>
      </c>
      <c r="Y68" s="105">
        <f t="shared" si="18"/>
        <v>0.408163265306122</v>
      </c>
      <c r="Z68" s="106">
        <f t="shared" si="33"/>
        <v>3.96649659863946</v>
      </c>
      <c r="AA68" s="106">
        <f t="shared" si="19"/>
        <v>2.54439630339037</v>
      </c>
      <c r="AB68" s="106">
        <v>0</v>
      </c>
      <c r="AC68" s="106">
        <f t="shared" si="20"/>
        <v>0.0647395254870656</v>
      </c>
      <c r="AD68" s="107">
        <f t="shared" si="21"/>
        <v>0.0647395254870656</v>
      </c>
      <c r="AE68" s="105">
        <f t="shared" si="22"/>
        <v>1.84573412698413</v>
      </c>
      <c r="AF68" s="106">
        <f t="shared" si="23"/>
        <v>2.54439630339037</v>
      </c>
      <c r="AG68" s="106">
        <f t="shared" si="39"/>
        <v>0.0420806915665926</v>
      </c>
      <c r="AH68" s="106">
        <f t="shared" si="40"/>
        <v>-0.0966484623960747</v>
      </c>
      <c r="AI68" s="107">
        <f t="shared" si="24"/>
        <v>-0.0545677708294821</v>
      </c>
      <c r="AJ68" s="105">
        <f t="shared" si="25"/>
        <v>1.01666666666667</v>
      </c>
      <c r="AK68" s="106">
        <f t="shared" si="26"/>
        <v>2.01208133040253</v>
      </c>
      <c r="AL68" s="106">
        <f t="shared" si="27"/>
        <v>0.330416666666667</v>
      </c>
      <c r="AM68" s="106">
        <f t="shared" si="41"/>
        <v>0</v>
      </c>
      <c r="AN68" s="107">
        <f t="shared" si="28"/>
        <v>0.330416666666667</v>
      </c>
      <c r="AO68" s="105">
        <f t="shared" si="42"/>
        <v>0.0647395254870656</v>
      </c>
      <c r="AP68" s="106">
        <f t="shared" si="16"/>
        <v>0.1512</v>
      </c>
      <c r="AQ68" s="107">
        <f t="shared" si="29"/>
        <v>0.0132</v>
      </c>
      <c r="AR68" s="105">
        <f t="shared" si="30"/>
        <v>0.50498842132425</v>
      </c>
      <c r="AS68" s="106">
        <f t="shared" si="31"/>
        <v>10.1666666666667</v>
      </c>
      <c r="AT68" s="107">
        <f t="shared" si="32"/>
        <v>95.2679465634855</v>
      </c>
    </row>
    <row r="69" spans="17:46">
      <c r="Q69">
        <v>62</v>
      </c>
      <c r="R69" s="105">
        <f t="shared" si="0"/>
        <v>10</v>
      </c>
      <c r="S69" s="106">
        <f t="shared" si="34"/>
        <v>1.03333333333333</v>
      </c>
      <c r="T69" s="106">
        <f t="shared" si="2"/>
        <v>4</v>
      </c>
      <c r="U69" s="107">
        <f t="shared" si="35"/>
        <v>2.58333333333333</v>
      </c>
      <c r="V69" s="105">
        <f t="shared" si="36"/>
        <v>2</v>
      </c>
      <c r="W69" s="106">
        <f t="shared" si="37"/>
        <v>0.714285714285714</v>
      </c>
      <c r="X69" s="107">
        <f t="shared" si="38"/>
        <v>0.285714285714286</v>
      </c>
      <c r="Y69" s="105">
        <f t="shared" si="18"/>
        <v>0.408163265306122</v>
      </c>
      <c r="Z69" s="106">
        <f t="shared" si="33"/>
        <v>4.02482993197279</v>
      </c>
      <c r="AA69" s="106">
        <f t="shared" si="19"/>
        <v>2.58601898975495</v>
      </c>
      <c r="AB69" s="106">
        <v>0</v>
      </c>
      <c r="AC69" s="106">
        <f t="shared" si="20"/>
        <v>0.0668749421537322</v>
      </c>
      <c r="AD69" s="107">
        <f t="shared" si="21"/>
        <v>0.0668749421537322</v>
      </c>
      <c r="AE69" s="105">
        <f t="shared" si="22"/>
        <v>1.90674603174603</v>
      </c>
      <c r="AF69" s="106">
        <f t="shared" si="23"/>
        <v>2.58601898975495</v>
      </c>
      <c r="AG69" s="106">
        <f t="shared" si="39"/>
        <v>0.0434687123999259</v>
      </c>
      <c r="AH69" s="106">
        <f t="shared" si="40"/>
        <v>-0.0982328634189612</v>
      </c>
      <c r="AI69" s="107">
        <f t="shared" si="24"/>
        <v>-0.0547641510190352</v>
      </c>
      <c r="AJ69" s="105">
        <f t="shared" si="25"/>
        <v>1.03333333333333</v>
      </c>
      <c r="AK69" s="106">
        <f t="shared" si="26"/>
        <v>2.0432467630162</v>
      </c>
      <c r="AL69" s="106">
        <f t="shared" si="27"/>
        <v>0.335833333333333</v>
      </c>
      <c r="AM69" s="106">
        <f t="shared" si="41"/>
        <v>0</v>
      </c>
      <c r="AN69" s="107">
        <f t="shared" si="28"/>
        <v>0.335833333333333</v>
      </c>
      <c r="AO69" s="105">
        <f t="shared" si="42"/>
        <v>0.0668749421537322</v>
      </c>
      <c r="AP69" s="106">
        <f t="shared" si="16"/>
        <v>0.1512</v>
      </c>
      <c r="AQ69" s="107">
        <f t="shared" si="29"/>
        <v>0.0132</v>
      </c>
      <c r="AR69" s="105">
        <f t="shared" si="30"/>
        <v>0.51234412446803</v>
      </c>
      <c r="AS69" s="106">
        <f t="shared" si="31"/>
        <v>10.3333333333333</v>
      </c>
      <c r="AT69" s="107">
        <f t="shared" si="32"/>
        <v>95.2760523585412</v>
      </c>
    </row>
    <row r="70" spans="17:46">
      <c r="Q70">
        <v>63</v>
      </c>
      <c r="R70" s="105">
        <f t="shared" si="0"/>
        <v>10</v>
      </c>
      <c r="S70" s="106">
        <f t="shared" si="34"/>
        <v>1.05</v>
      </c>
      <c r="T70" s="106">
        <f t="shared" si="2"/>
        <v>4</v>
      </c>
      <c r="U70" s="107">
        <f t="shared" si="35"/>
        <v>2.625</v>
      </c>
      <c r="V70" s="105">
        <f t="shared" si="36"/>
        <v>2</v>
      </c>
      <c r="W70" s="106">
        <f t="shared" si="37"/>
        <v>0.714285714285714</v>
      </c>
      <c r="X70" s="107">
        <f t="shared" si="38"/>
        <v>0.285714285714286</v>
      </c>
      <c r="Y70" s="105">
        <f t="shared" si="18"/>
        <v>0.408163265306122</v>
      </c>
      <c r="Z70" s="106">
        <f t="shared" si="33"/>
        <v>4.08316326530612</v>
      </c>
      <c r="AA70" s="106">
        <f t="shared" si="19"/>
        <v>2.62764307017945</v>
      </c>
      <c r="AB70" s="106">
        <v>0</v>
      </c>
      <c r="AC70" s="106">
        <f t="shared" si="20"/>
        <v>0.0690450810426211</v>
      </c>
      <c r="AD70" s="107">
        <f t="shared" si="21"/>
        <v>0.0690450810426211</v>
      </c>
      <c r="AE70" s="105">
        <f t="shared" si="22"/>
        <v>1.96875</v>
      </c>
      <c r="AF70" s="106">
        <f t="shared" si="23"/>
        <v>2.62764307017945</v>
      </c>
      <c r="AG70" s="106">
        <f t="shared" si="39"/>
        <v>0.0448793026777037</v>
      </c>
      <c r="AH70" s="106">
        <f t="shared" si="40"/>
        <v>-0.0998172644418476</v>
      </c>
      <c r="AI70" s="107">
        <f t="shared" si="24"/>
        <v>-0.0549379617641439</v>
      </c>
      <c r="AJ70" s="105">
        <f t="shared" si="25"/>
        <v>1.05</v>
      </c>
      <c r="AK70" s="106">
        <f t="shared" si="26"/>
        <v>2.07441264782165</v>
      </c>
      <c r="AL70" s="106">
        <f t="shared" si="27"/>
        <v>0.34125</v>
      </c>
      <c r="AM70" s="106">
        <f t="shared" si="41"/>
        <v>0</v>
      </c>
      <c r="AN70" s="107">
        <f t="shared" si="28"/>
        <v>0.34125</v>
      </c>
      <c r="AO70" s="105">
        <f t="shared" si="42"/>
        <v>0.0690450810426211</v>
      </c>
      <c r="AP70" s="106">
        <f t="shared" si="16"/>
        <v>0.1512</v>
      </c>
      <c r="AQ70" s="107">
        <f t="shared" si="29"/>
        <v>0.0132</v>
      </c>
      <c r="AR70" s="105">
        <f t="shared" si="30"/>
        <v>0.519757119278477</v>
      </c>
      <c r="AS70" s="106">
        <f t="shared" si="31"/>
        <v>10.5</v>
      </c>
      <c r="AT70" s="107">
        <f t="shared" si="32"/>
        <v>95.28340676067</v>
      </c>
    </row>
    <row r="71" spans="17:46">
      <c r="Q71">
        <v>64</v>
      </c>
      <c r="R71" s="105">
        <f t="shared" ref="R71:R134" si="43">VOUT</f>
        <v>10</v>
      </c>
      <c r="S71" s="106">
        <f t="shared" ref="S71:S102" si="44">Q71*$O$12</f>
        <v>1.06666666666667</v>
      </c>
      <c r="T71" s="106">
        <f t="shared" ref="T71:T134" si="45">VIN_var</f>
        <v>4</v>
      </c>
      <c r="U71" s="107">
        <f t="shared" ref="U71:U102" si="46">(R71*S71)/(T71*EFF_est)</f>
        <v>2.66666666666667</v>
      </c>
      <c r="V71" s="105">
        <f t="shared" ref="V71:V102" si="47">IF(S71&lt;((T71^2)*R71)/(2*Fsw*Lm*((T71+R71)^2)),1,2)</f>
        <v>2</v>
      </c>
      <c r="W71" s="106">
        <f t="shared" ref="W71:W102" si="48">CHOOSE(V71,SQRT(2*Lm*R71*S71*Fsw)/T71,R71/(T71+R71))</f>
        <v>0.714285714285714</v>
      </c>
      <c r="X71" s="107">
        <f t="shared" ref="X71:X102" si="49">CHOOSE(V71,(Lm*Z71*Fsw)/(R71),1-W71)</f>
        <v>0.285714285714286</v>
      </c>
      <c r="Y71" s="105">
        <f t="shared" si="18"/>
        <v>0.408163265306122</v>
      </c>
      <c r="Z71" s="106">
        <f t="shared" si="33"/>
        <v>4.14149659863946</v>
      </c>
      <c r="AA71" s="106">
        <f t="shared" si="19"/>
        <v>2.66926847944773</v>
      </c>
      <c r="AB71" s="106">
        <v>0</v>
      </c>
      <c r="AC71" s="106">
        <f t="shared" si="20"/>
        <v>0.0712499421537322</v>
      </c>
      <c r="AD71" s="107">
        <f t="shared" si="21"/>
        <v>0.0712499421537322</v>
      </c>
      <c r="AE71" s="105">
        <f t="shared" si="22"/>
        <v>2.03174603174603</v>
      </c>
      <c r="AF71" s="106">
        <f t="shared" si="23"/>
        <v>2.66926847944773</v>
      </c>
      <c r="AG71" s="106">
        <f t="shared" ref="AG71:AG102" si="50">(AF71^2)*RDS_on</f>
        <v>0.046312462399926</v>
      </c>
      <c r="AH71" s="106">
        <f t="shared" ref="AH71:AH102" si="51">(((R71+T71)*(U71+S71))/2)*Fsw*(tr_sw+tf_sw)</f>
        <v>-0.101401665464734</v>
      </c>
      <c r="AI71" s="107">
        <f t="shared" si="24"/>
        <v>-0.0550892030648082</v>
      </c>
      <c r="AJ71" s="105">
        <f t="shared" si="25"/>
        <v>1.06666666666667</v>
      </c>
      <c r="AK71" s="106">
        <f t="shared" si="26"/>
        <v>2.10557896473941</v>
      </c>
      <c r="AL71" s="106">
        <f t="shared" si="27"/>
        <v>0.346666666666667</v>
      </c>
      <c r="AM71" s="106">
        <f t="shared" ref="AM71:AM102" si="52">(R71+T71+Vd_rect)*Qrr*Fsw</f>
        <v>0</v>
      </c>
      <c r="AN71" s="107">
        <f t="shared" si="28"/>
        <v>0.346666666666667</v>
      </c>
      <c r="AO71" s="105">
        <f t="shared" ref="AO71:AO102" si="53">(AF71^2)*R_cs</f>
        <v>0.0712499421537322</v>
      </c>
      <c r="AP71" s="106">
        <f t="shared" ref="AP71:AP134" si="54">Qg_tot*Vcc*Fsw</f>
        <v>0.1512</v>
      </c>
      <c r="AQ71" s="107">
        <f t="shared" si="29"/>
        <v>0.0132</v>
      </c>
      <c r="AR71" s="105">
        <f t="shared" si="30"/>
        <v>0.527227405755591</v>
      </c>
      <c r="AS71" s="106">
        <f t="shared" si="31"/>
        <v>10.6666666666667</v>
      </c>
      <c r="AT71" s="107">
        <f t="shared" si="32"/>
        <v>95.2900447123714</v>
      </c>
    </row>
    <row r="72" spans="17:46">
      <c r="Q72">
        <v>65</v>
      </c>
      <c r="R72" s="105">
        <f t="shared" si="43"/>
        <v>10</v>
      </c>
      <c r="S72" s="106">
        <f t="shared" si="44"/>
        <v>1.08333333333333</v>
      </c>
      <c r="T72" s="106">
        <f t="shared" si="45"/>
        <v>4</v>
      </c>
      <c r="U72" s="107">
        <f t="shared" si="46"/>
        <v>2.70833333333333</v>
      </c>
      <c r="V72" s="105">
        <f t="shared" si="47"/>
        <v>2</v>
      </c>
      <c r="W72" s="106">
        <f t="shared" si="48"/>
        <v>0.714285714285714</v>
      </c>
      <c r="X72" s="107">
        <f t="shared" si="49"/>
        <v>0.285714285714286</v>
      </c>
      <c r="Y72" s="105">
        <f t="shared" ref="Y72:Y135" si="55">(T72*W72)/(Lm*Fsw)</f>
        <v>0.408163265306122</v>
      </c>
      <c r="Z72" s="106">
        <f t="shared" ref="Z72:Z135" si="56">CHOOSE(V72,Y72,U72+S72+(Y72))</f>
        <v>4.19982993197279</v>
      </c>
      <c r="AA72" s="106">
        <f t="shared" ref="AA72:AA135" si="57">CHOOSE(V72,Z72*SQRT((W72+X72)/3),SQRT((U72^2)+((Y72^2)/12)))</f>
        <v>2.71089515634717</v>
      </c>
      <c r="AB72" s="106">
        <v>0</v>
      </c>
      <c r="AC72" s="106">
        <f t="shared" ref="AC72:AC135" si="58">(AA72^2)*Rdcr</f>
        <v>0.0734895254870656</v>
      </c>
      <c r="AD72" s="107">
        <f t="shared" ref="AD72:AD135" si="59">AB72+AC72</f>
        <v>0.0734895254870656</v>
      </c>
      <c r="AE72" s="105">
        <f t="shared" ref="AE72:AE135" si="60">U72*S72*W72</f>
        <v>2.09573412698413</v>
      </c>
      <c r="AF72" s="106">
        <f t="shared" ref="AF72:AF135" si="61">AA72</f>
        <v>2.71089515634717</v>
      </c>
      <c r="AG72" s="106">
        <f t="shared" si="50"/>
        <v>0.0477681915665926</v>
      </c>
      <c r="AH72" s="106">
        <f t="shared" si="51"/>
        <v>-0.102986066487621</v>
      </c>
      <c r="AI72" s="107">
        <f t="shared" ref="AI72:AI135" si="62">AG72+AH72</f>
        <v>-0.055217874921028</v>
      </c>
      <c r="AJ72" s="105">
        <f t="shared" ref="AJ72:AJ135" si="63">S72</f>
        <v>1.08333333333333</v>
      </c>
      <c r="AK72" s="106">
        <f t="shared" ref="AK72:AK135" si="64">CHOOSE(V72,Z72*SQRT(X72/3),SQRT(X72*((Z72^2)+((Y72^2)/3)-(Y72*Z72))))</f>
        <v>2.13674569486127</v>
      </c>
      <c r="AL72" s="106">
        <f t="shared" ref="AL72:AL135" si="65">S72*Vd_rect</f>
        <v>0.352083333333333</v>
      </c>
      <c r="AM72" s="106">
        <f t="shared" si="52"/>
        <v>0</v>
      </c>
      <c r="AN72" s="107">
        <f t="shared" ref="AN72:AN135" si="66">AL72+AM72</f>
        <v>0.352083333333333</v>
      </c>
      <c r="AO72" s="105">
        <f t="shared" si="53"/>
        <v>0.0734895254870656</v>
      </c>
      <c r="AP72" s="106">
        <f t="shared" si="54"/>
        <v>0.1512</v>
      </c>
      <c r="AQ72" s="107">
        <f t="shared" ref="AQ72:AQ135" si="67">IQ*T72</f>
        <v>0.0132</v>
      </c>
      <c r="AR72" s="105">
        <f t="shared" ref="AR72:AR135" si="68">AO72+AN72+AI72+AP72+AQ72</f>
        <v>0.534754983899371</v>
      </c>
      <c r="AS72" s="106">
        <f t="shared" ref="AS72:AS135" si="69">R72*S72</f>
        <v>10.8333333333333</v>
      </c>
      <c r="AT72" s="107">
        <f t="shared" ref="AT72:AT135" si="70">(AS72/(AS72+AR72))*100</f>
        <v>95.2959990371579</v>
      </c>
    </row>
    <row r="73" spans="17:46">
      <c r="Q73">
        <v>66</v>
      </c>
      <c r="R73" s="105">
        <f t="shared" si="43"/>
        <v>10</v>
      </c>
      <c r="S73" s="106">
        <f t="shared" si="44"/>
        <v>1.1</v>
      </c>
      <c r="T73" s="106">
        <f t="shared" si="45"/>
        <v>4</v>
      </c>
      <c r="U73" s="107">
        <f t="shared" si="46"/>
        <v>2.75</v>
      </c>
      <c r="V73" s="105">
        <f t="shared" si="47"/>
        <v>2</v>
      </c>
      <c r="W73" s="106">
        <f t="shared" si="48"/>
        <v>0.714285714285714</v>
      </c>
      <c r="X73" s="107">
        <f t="shared" si="49"/>
        <v>0.285714285714286</v>
      </c>
      <c r="Y73" s="105">
        <f t="shared" si="55"/>
        <v>0.408163265306122</v>
      </c>
      <c r="Z73" s="106">
        <f t="shared" si="56"/>
        <v>4.25816326530612</v>
      </c>
      <c r="AA73" s="106">
        <f t="shared" si="57"/>
        <v>2.75252304336623</v>
      </c>
      <c r="AB73" s="106">
        <v>0</v>
      </c>
      <c r="AC73" s="106">
        <f t="shared" si="58"/>
        <v>0.0757638310426211</v>
      </c>
      <c r="AD73" s="107">
        <f t="shared" si="59"/>
        <v>0.0757638310426211</v>
      </c>
      <c r="AE73" s="105">
        <f t="shared" si="60"/>
        <v>2.16071428571429</v>
      </c>
      <c r="AF73" s="106">
        <f t="shared" si="61"/>
        <v>2.75252304336623</v>
      </c>
      <c r="AG73" s="106">
        <f t="shared" si="50"/>
        <v>0.0492464901777037</v>
      </c>
      <c r="AH73" s="106">
        <f t="shared" si="51"/>
        <v>-0.104570467510507</v>
      </c>
      <c r="AI73" s="107">
        <f t="shared" si="62"/>
        <v>-0.0553239773328033</v>
      </c>
      <c r="AJ73" s="105">
        <f t="shared" si="63"/>
        <v>1.1</v>
      </c>
      <c r="AK73" s="106">
        <f t="shared" si="64"/>
        <v>2.1679128203661</v>
      </c>
      <c r="AL73" s="106">
        <f t="shared" si="65"/>
        <v>0.3575</v>
      </c>
      <c r="AM73" s="106">
        <f t="shared" si="52"/>
        <v>0</v>
      </c>
      <c r="AN73" s="107">
        <f t="shared" si="66"/>
        <v>0.3575</v>
      </c>
      <c r="AO73" s="105">
        <f t="shared" si="53"/>
        <v>0.0757638310426211</v>
      </c>
      <c r="AP73" s="106">
        <f t="shared" si="54"/>
        <v>0.1512</v>
      </c>
      <c r="AQ73" s="107">
        <f t="shared" si="67"/>
        <v>0.0132</v>
      </c>
      <c r="AR73" s="105">
        <f t="shared" si="68"/>
        <v>0.542339853709818</v>
      </c>
      <c r="AS73" s="106">
        <f t="shared" si="69"/>
        <v>11</v>
      </c>
      <c r="AT73" s="107">
        <f t="shared" si="70"/>
        <v>95.3013005977683</v>
      </c>
    </row>
    <row r="74" spans="17:46">
      <c r="Q74">
        <v>67</v>
      </c>
      <c r="R74" s="105">
        <f t="shared" si="43"/>
        <v>10</v>
      </c>
      <c r="S74" s="106">
        <f t="shared" si="44"/>
        <v>1.11666666666667</v>
      </c>
      <c r="T74" s="106">
        <f t="shared" si="45"/>
        <v>4</v>
      </c>
      <c r="U74" s="107">
        <f t="shared" si="46"/>
        <v>2.79166666666667</v>
      </c>
      <c r="V74" s="105">
        <f t="shared" si="47"/>
        <v>2</v>
      </c>
      <c r="W74" s="106">
        <f t="shared" si="48"/>
        <v>0.714285714285714</v>
      </c>
      <c r="X74" s="107">
        <f t="shared" si="49"/>
        <v>0.285714285714286</v>
      </c>
      <c r="Y74" s="105">
        <f t="shared" si="55"/>
        <v>0.408163265306122</v>
      </c>
      <c r="Z74" s="106">
        <f t="shared" si="56"/>
        <v>4.31649659863946</v>
      </c>
      <c r="AA74" s="106">
        <f t="shared" si="57"/>
        <v>2.79415208641904</v>
      </c>
      <c r="AB74" s="106">
        <v>0</v>
      </c>
      <c r="AC74" s="106">
        <f t="shared" si="58"/>
        <v>0.0780728588203989</v>
      </c>
      <c r="AD74" s="107">
        <f t="shared" si="59"/>
        <v>0.0780728588203989</v>
      </c>
      <c r="AE74" s="105">
        <f t="shared" si="60"/>
        <v>2.22668650793651</v>
      </c>
      <c r="AF74" s="106">
        <f t="shared" si="61"/>
        <v>2.79415208641904</v>
      </c>
      <c r="AG74" s="106">
        <f t="shared" si="50"/>
        <v>0.0507473582332593</v>
      </c>
      <c r="AH74" s="106">
        <f t="shared" si="51"/>
        <v>-0.106154868533394</v>
      </c>
      <c r="AI74" s="107">
        <f t="shared" si="62"/>
        <v>-0.0554075103001342</v>
      </c>
      <c r="AJ74" s="105">
        <f t="shared" si="63"/>
        <v>1.11666666666667</v>
      </c>
      <c r="AK74" s="106">
        <f t="shared" si="64"/>
        <v>2.19908032444286</v>
      </c>
      <c r="AL74" s="106">
        <f t="shared" si="65"/>
        <v>0.362916666666667</v>
      </c>
      <c r="AM74" s="106">
        <f t="shared" si="52"/>
        <v>0</v>
      </c>
      <c r="AN74" s="107">
        <f t="shared" si="66"/>
        <v>0.362916666666667</v>
      </c>
      <c r="AO74" s="105">
        <f t="shared" si="53"/>
        <v>0.0780728588203989</v>
      </c>
      <c r="AP74" s="106">
        <f t="shared" si="54"/>
        <v>0.1512</v>
      </c>
      <c r="AQ74" s="107">
        <f t="shared" si="67"/>
        <v>0.0132</v>
      </c>
      <c r="AR74" s="105">
        <f t="shared" si="68"/>
        <v>0.549982015186931</v>
      </c>
      <c r="AS74" s="106">
        <f t="shared" si="69"/>
        <v>11.1666666666667</v>
      </c>
      <c r="AT74" s="107">
        <f t="shared" si="70"/>
        <v>95.3059784404159</v>
      </c>
    </row>
    <row r="75" spans="17:46">
      <c r="Q75">
        <v>68</v>
      </c>
      <c r="R75" s="105">
        <f t="shared" si="43"/>
        <v>10</v>
      </c>
      <c r="S75" s="106">
        <f t="shared" si="44"/>
        <v>1.13333333333333</v>
      </c>
      <c r="T75" s="106">
        <f t="shared" si="45"/>
        <v>4</v>
      </c>
      <c r="U75" s="107">
        <f t="shared" si="46"/>
        <v>2.83333333333333</v>
      </c>
      <c r="V75" s="105">
        <f t="shared" si="47"/>
        <v>2</v>
      </c>
      <c r="W75" s="106">
        <f t="shared" si="48"/>
        <v>0.714285714285714</v>
      </c>
      <c r="X75" s="107">
        <f t="shared" si="49"/>
        <v>0.285714285714286</v>
      </c>
      <c r="Y75" s="105">
        <f t="shared" si="55"/>
        <v>0.408163265306122</v>
      </c>
      <c r="Z75" s="106">
        <f t="shared" si="56"/>
        <v>4.37482993197279</v>
      </c>
      <c r="AA75" s="106">
        <f t="shared" si="57"/>
        <v>2.83578223459417</v>
      </c>
      <c r="AB75" s="106">
        <v>0</v>
      </c>
      <c r="AC75" s="106">
        <f t="shared" si="58"/>
        <v>0.0804166088203989</v>
      </c>
      <c r="AD75" s="107">
        <f t="shared" si="59"/>
        <v>0.0804166088203989</v>
      </c>
      <c r="AE75" s="105">
        <f t="shared" si="60"/>
        <v>2.29365079365079</v>
      </c>
      <c r="AF75" s="106">
        <f t="shared" si="61"/>
        <v>2.83578223459417</v>
      </c>
      <c r="AG75" s="106">
        <f t="shared" si="50"/>
        <v>0.0522707957332593</v>
      </c>
      <c r="AH75" s="106">
        <f t="shared" si="51"/>
        <v>-0.10773926955628</v>
      </c>
      <c r="AI75" s="107">
        <f t="shared" si="62"/>
        <v>-0.0554684738230207</v>
      </c>
      <c r="AJ75" s="105">
        <f t="shared" si="63"/>
        <v>1.13333333333333</v>
      </c>
      <c r="AK75" s="106">
        <f t="shared" si="64"/>
        <v>2.23024819122001</v>
      </c>
      <c r="AL75" s="106">
        <f t="shared" si="65"/>
        <v>0.368333333333333</v>
      </c>
      <c r="AM75" s="106">
        <f t="shared" si="52"/>
        <v>0</v>
      </c>
      <c r="AN75" s="107">
        <f t="shared" si="66"/>
        <v>0.368333333333333</v>
      </c>
      <c r="AO75" s="105">
        <f t="shared" si="53"/>
        <v>0.0804166088203989</v>
      </c>
      <c r="AP75" s="106">
        <f t="shared" si="54"/>
        <v>0.1512</v>
      </c>
      <c r="AQ75" s="107">
        <f t="shared" si="67"/>
        <v>0.0132</v>
      </c>
      <c r="AR75" s="105">
        <f t="shared" si="68"/>
        <v>0.557681468330712</v>
      </c>
      <c r="AS75" s="106">
        <f t="shared" si="69"/>
        <v>11.3333333333333</v>
      </c>
      <c r="AT75" s="107">
        <f t="shared" si="70"/>
        <v>95.3100599264861</v>
      </c>
    </row>
    <row r="76" spans="17:46">
      <c r="Q76">
        <v>69</v>
      </c>
      <c r="R76" s="105">
        <f t="shared" si="43"/>
        <v>10</v>
      </c>
      <c r="S76" s="106">
        <f t="shared" si="44"/>
        <v>1.15</v>
      </c>
      <c r="T76" s="106">
        <f t="shared" si="45"/>
        <v>4</v>
      </c>
      <c r="U76" s="107">
        <f t="shared" si="46"/>
        <v>2.875</v>
      </c>
      <c r="V76" s="105">
        <f t="shared" si="47"/>
        <v>2</v>
      </c>
      <c r="W76" s="106">
        <f t="shared" si="48"/>
        <v>0.714285714285714</v>
      </c>
      <c r="X76" s="107">
        <f t="shared" si="49"/>
        <v>0.285714285714286</v>
      </c>
      <c r="Y76" s="105">
        <f t="shared" si="55"/>
        <v>0.408163265306122</v>
      </c>
      <c r="Z76" s="106">
        <f t="shared" si="56"/>
        <v>4.43316326530612</v>
      </c>
      <c r="AA76" s="106">
        <f t="shared" si="57"/>
        <v>2.87741343992519</v>
      </c>
      <c r="AB76" s="106">
        <v>0</v>
      </c>
      <c r="AC76" s="106">
        <f t="shared" si="58"/>
        <v>0.0827950810426211</v>
      </c>
      <c r="AD76" s="107">
        <f t="shared" si="59"/>
        <v>0.0827950810426211</v>
      </c>
      <c r="AE76" s="105">
        <f t="shared" si="60"/>
        <v>2.36160714285714</v>
      </c>
      <c r="AF76" s="106">
        <f t="shared" si="61"/>
        <v>2.87741343992519</v>
      </c>
      <c r="AG76" s="106">
        <f t="shared" si="50"/>
        <v>0.0538168026777037</v>
      </c>
      <c r="AH76" s="106">
        <f t="shared" si="51"/>
        <v>-0.109323670579166</v>
      </c>
      <c r="AI76" s="107">
        <f t="shared" si="62"/>
        <v>-0.0555068679014627</v>
      </c>
      <c r="AJ76" s="105">
        <f t="shared" si="63"/>
        <v>1.15</v>
      </c>
      <c r="AK76" s="106">
        <f t="shared" si="64"/>
        <v>2.26141640570087</v>
      </c>
      <c r="AL76" s="106">
        <f t="shared" si="65"/>
        <v>0.37375</v>
      </c>
      <c r="AM76" s="106">
        <f t="shared" si="52"/>
        <v>0</v>
      </c>
      <c r="AN76" s="107">
        <f t="shared" si="66"/>
        <v>0.37375</v>
      </c>
      <c r="AO76" s="105">
        <f t="shared" si="53"/>
        <v>0.0827950810426211</v>
      </c>
      <c r="AP76" s="106">
        <f t="shared" si="54"/>
        <v>0.1512</v>
      </c>
      <c r="AQ76" s="107">
        <f t="shared" si="67"/>
        <v>0.0132</v>
      </c>
      <c r="AR76" s="105">
        <f t="shared" si="68"/>
        <v>0.565438213141158</v>
      </c>
      <c r="AS76" s="106">
        <f t="shared" si="69"/>
        <v>11.5</v>
      </c>
      <c r="AT76" s="107">
        <f t="shared" si="70"/>
        <v>95.31357085294</v>
      </c>
    </row>
    <row r="77" spans="17:46">
      <c r="Q77">
        <v>70</v>
      </c>
      <c r="R77" s="105">
        <f t="shared" si="43"/>
        <v>10</v>
      </c>
      <c r="S77" s="106">
        <f t="shared" si="44"/>
        <v>1.16666666666667</v>
      </c>
      <c r="T77" s="106">
        <f t="shared" si="45"/>
        <v>4</v>
      </c>
      <c r="U77" s="107">
        <f t="shared" si="46"/>
        <v>2.91666666666667</v>
      </c>
      <c r="V77" s="105">
        <f t="shared" si="47"/>
        <v>2</v>
      </c>
      <c r="W77" s="106">
        <f t="shared" si="48"/>
        <v>0.714285714285714</v>
      </c>
      <c r="X77" s="107">
        <f t="shared" si="49"/>
        <v>0.285714285714286</v>
      </c>
      <c r="Y77" s="105">
        <f t="shared" si="55"/>
        <v>0.408163265306122</v>
      </c>
      <c r="Z77" s="106">
        <f t="shared" si="56"/>
        <v>4.49149659863946</v>
      </c>
      <c r="AA77" s="106">
        <f t="shared" si="57"/>
        <v>2.91904565718088</v>
      </c>
      <c r="AB77" s="106">
        <v>0</v>
      </c>
      <c r="AC77" s="106">
        <f t="shared" si="58"/>
        <v>0.0852082754870656</v>
      </c>
      <c r="AD77" s="107">
        <f t="shared" si="59"/>
        <v>0.0852082754870656</v>
      </c>
      <c r="AE77" s="105">
        <f t="shared" si="60"/>
        <v>2.43055555555556</v>
      </c>
      <c r="AF77" s="106">
        <f t="shared" si="61"/>
        <v>2.91904565718088</v>
      </c>
      <c r="AG77" s="106">
        <f t="shared" si="50"/>
        <v>0.0553853790665927</v>
      </c>
      <c r="AH77" s="106">
        <f t="shared" si="51"/>
        <v>-0.110908071602053</v>
      </c>
      <c r="AI77" s="107">
        <f t="shared" si="62"/>
        <v>-0.0555226925354603</v>
      </c>
      <c r="AJ77" s="105">
        <f t="shared" si="63"/>
        <v>1.16666666666667</v>
      </c>
      <c r="AK77" s="106">
        <f t="shared" si="64"/>
        <v>2.29258495370408</v>
      </c>
      <c r="AL77" s="106">
        <f t="shared" si="65"/>
        <v>0.379166666666667</v>
      </c>
      <c r="AM77" s="106">
        <f t="shared" si="52"/>
        <v>0</v>
      </c>
      <c r="AN77" s="107">
        <f t="shared" si="66"/>
        <v>0.379166666666667</v>
      </c>
      <c r="AO77" s="105">
        <f t="shared" si="53"/>
        <v>0.0852082754870656</v>
      </c>
      <c r="AP77" s="106">
        <f t="shared" si="54"/>
        <v>0.1512</v>
      </c>
      <c r="AQ77" s="107">
        <f t="shared" si="67"/>
        <v>0.0132</v>
      </c>
      <c r="AR77" s="105">
        <f t="shared" si="68"/>
        <v>0.573252249618272</v>
      </c>
      <c r="AS77" s="106">
        <f t="shared" si="69"/>
        <v>11.6666666666667</v>
      </c>
      <c r="AT77" s="107">
        <f t="shared" si="70"/>
        <v>95.3165355625389</v>
      </c>
    </row>
    <row r="78" spans="17:46">
      <c r="Q78">
        <v>71</v>
      </c>
      <c r="R78" s="105">
        <f t="shared" si="43"/>
        <v>10</v>
      </c>
      <c r="S78" s="106">
        <f t="shared" si="44"/>
        <v>1.18333333333333</v>
      </c>
      <c r="T78" s="106">
        <f t="shared" si="45"/>
        <v>4</v>
      </c>
      <c r="U78" s="107">
        <f t="shared" si="46"/>
        <v>2.95833333333333</v>
      </c>
      <c r="V78" s="105">
        <f t="shared" si="47"/>
        <v>2</v>
      </c>
      <c r="W78" s="106">
        <f t="shared" si="48"/>
        <v>0.714285714285714</v>
      </c>
      <c r="X78" s="107">
        <f t="shared" si="49"/>
        <v>0.285714285714286</v>
      </c>
      <c r="Y78" s="105">
        <f t="shared" si="55"/>
        <v>0.408163265306122</v>
      </c>
      <c r="Z78" s="106">
        <f t="shared" si="56"/>
        <v>4.54982993197279</v>
      </c>
      <c r="AA78" s="106">
        <f t="shared" si="57"/>
        <v>2.96067884367306</v>
      </c>
      <c r="AB78" s="106">
        <v>0</v>
      </c>
      <c r="AC78" s="106">
        <f t="shared" si="58"/>
        <v>0.0876561921537323</v>
      </c>
      <c r="AD78" s="107">
        <f t="shared" si="59"/>
        <v>0.0876561921537323</v>
      </c>
      <c r="AE78" s="105">
        <f t="shared" si="60"/>
        <v>2.50049603174603</v>
      </c>
      <c r="AF78" s="106">
        <f t="shared" si="61"/>
        <v>2.96067884367306</v>
      </c>
      <c r="AG78" s="106">
        <f t="shared" si="50"/>
        <v>0.056976524899926</v>
      </c>
      <c r="AH78" s="106">
        <f t="shared" si="51"/>
        <v>-0.112492472624939</v>
      </c>
      <c r="AI78" s="107">
        <f t="shared" si="62"/>
        <v>-0.0555159477250134</v>
      </c>
      <c r="AJ78" s="105">
        <f t="shared" si="63"/>
        <v>1.18333333333333</v>
      </c>
      <c r="AK78" s="106">
        <f t="shared" si="64"/>
        <v>2.32375382180904</v>
      </c>
      <c r="AL78" s="106">
        <f t="shared" si="65"/>
        <v>0.384583333333333</v>
      </c>
      <c r="AM78" s="106">
        <f t="shared" si="52"/>
        <v>0</v>
      </c>
      <c r="AN78" s="107">
        <f t="shared" si="66"/>
        <v>0.384583333333333</v>
      </c>
      <c r="AO78" s="105">
        <f t="shared" si="53"/>
        <v>0.0876561921537323</v>
      </c>
      <c r="AP78" s="106">
        <f t="shared" si="54"/>
        <v>0.1512</v>
      </c>
      <c r="AQ78" s="107">
        <f t="shared" si="67"/>
        <v>0.0132</v>
      </c>
      <c r="AR78" s="105">
        <f t="shared" si="68"/>
        <v>0.581123577762052</v>
      </c>
      <c r="AS78" s="106">
        <f t="shared" si="69"/>
        <v>11.8333333333333</v>
      </c>
      <c r="AT78" s="107">
        <f t="shared" si="70"/>
        <v>95.3189770448784</v>
      </c>
    </row>
    <row r="79" spans="17:46">
      <c r="Q79">
        <v>72</v>
      </c>
      <c r="R79" s="105">
        <f t="shared" si="43"/>
        <v>10</v>
      </c>
      <c r="S79" s="106">
        <f t="shared" si="44"/>
        <v>1.2</v>
      </c>
      <c r="T79" s="106">
        <f t="shared" si="45"/>
        <v>4</v>
      </c>
      <c r="U79" s="107">
        <f t="shared" si="46"/>
        <v>3</v>
      </c>
      <c r="V79" s="105">
        <f t="shared" si="47"/>
        <v>2</v>
      </c>
      <c r="W79" s="106">
        <f t="shared" si="48"/>
        <v>0.714285714285714</v>
      </c>
      <c r="X79" s="107">
        <f t="shared" si="49"/>
        <v>0.285714285714286</v>
      </c>
      <c r="Y79" s="105">
        <f t="shared" si="55"/>
        <v>0.408163265306122</v>
      </c>
      <c r="Z79" s="106">
        <f t="shared" si="56"/>
        <v>4.60816326530612</v>
      </c>
      <c r="AA79" s="106">
        <f t="shared" si="57"/>
        <v>3.0023129590804</v>
      </c>
      <c r="AB79" s="106">
        <v>0</v>
      </c>
      <c r="AC79" s="106">
        <f t="shared" si="58"/>
        <v>0.0901388310426212</v>
      </c>
      <c r="AD79" s="107">
        <f t="shared" si="59"/>
        <v>0.0901388310426212</v>
      </c>
      <c r="AE79" s="105">
        <f t="shared" si="60"/>
        <v>2.57142857142857</v>
      </c>
      <c r="AF79" s="106">
        <f t="shared" si="61"/>
        <v>3.0023129590804</v>
      </c>
      <c r="AG79" s="106">
        <f t="shared" si="50"/>
        <v>0.0585902401777038</v>
      </c>
      <c r="AH79" s="106">
        <f t="shared" si="51"/>
        <v>-0.114076873647826</v>
      </c>
      <c r="AI79" s="107">
        <f t="shared" si="62"/>
        <v>-0.0554866334701221</v>
      </c>
      <c r="AJ79" s="105">
        <f t="shared" si="63"/>
        <v>1.2</v>
      </c>
      <c r="AK79" s="106">
        <f t="shared" si="64"/>
        <v>2.3549229973055</v>
      </c>
      <c r="AL79" s="106">
        <f t="shared" si="65"/>
        <v>0.39</v>
      </c>
      <c r="AM79" s="106">
        <f t="shared" si="52"/>
        <v>0</v>
      </c>
      <c r="AN79" s="107">
        <f t="shared" si="66"/>
        <v>0.39</v>
      </c>
      <c r="AO79" s="105">
        <f t="shared" si="53"/>
        <v>0.0901388310426212</v>
      </c>
      <c r="AP79" s="106">
        <f t="shared" si="54"/>
        <v>0.1512</v>
      </c>
      <c r="AQ79" s="107">
        <f t="shared" si="67"/>
        <v>0.0132</v>
      </c>
      <c r="AR79" s="105">
        <f t="shared" si="68"/>
        <v>0.589052197572499</v>
      </c>
      <c r="AS79" s="106">
        <f t="shared" si="69"/>
        <v>12</v>
      </c>
      <c r="AT79" s="107">
        <f t="shared" si="70"/>
        <v>95.3209170291145</v>
      </c>
    </row>
    <row r="80" spans="17:46">
      <c r="Q80">
        <v>73</v>
      </c>
      <c r="R80" s="105">
        <f t="shared" si="43"/>
        <v>10</v>
      </c>
      <c r="S80" s="106">
        <f t="shared" si="44"/>
        <v>1.21666666666667</v>
      </c>
      <c r="T80" s="106">
        <f t="shared" si="45"/>
        <v>4</v>
      </c>
      <c r="U80" s="107">
        <f t="shared" si="46"/>
        <v>3.04166666666667</v>
      </c>
      <c r="V80" s="105">
        <f t="shared" si="47"/>
        <v>2</v>
      </c>
      <c r="W80" s="106">
        <f t="shared" si="48"/>
        <v>0.714285714285714</v>
      </c>
      <c r="X80" s="107">
        <f t="shared" si="49"/>
        <v>0.285714285714286</v>
      </c>
      <c r="Y80" s="105">
        <f t="shared" si="55"/>
        <v>0.408163265306122</v>
      </c>
      <c r="Z80" s="106">
        <f t="shared" si="56"/>
        <v>4.66649659863945</v>
      </c>
      <c r="AA80" s="106">
        <f t="shared" si="57"/>
        <v>3.04394796528673</v>
      </c>
      <c r="AB80" s="106">
        <v>0</v>
      </c>
      <c r="AC80" s="106">
        <f t="shared" si="58"/>
        <v>0.0926561921537323</v>
      </c>
      <c r="AD80" s="107">
        <f t="shared" si="59"/>
        <v>0.0926561921537323</v>
      </c>
      <c r="AE80" s="105">
        <f t="shared" si="60"/>
        <v>2.64335317460317</v>
      </c>
      <c r="AF80" s="106">
        <f t="shared" si="61"/>
        <v>3.04394796528673</v>
      </c>
      <c r="AG80" s="106">
        <f t="shared" si="50"/>
        <v>0.060226524899926</v>
      </c>
      <c r="AH80" s="106">
        <f t="shared" si="51"/>
        <v>-0.115661274670712</v>
      </c>
      <c r="AI80" s="107">
        <f t="shared" si="62"/>
        <v>-0.0554347497707864</v>
      </c>
      <c r="AJ80" s="105">
        <f t="shared" si="63"/>
        <v>1.21666666666667</v>
      </c>
      <c r="AK80" s="106">
        <f t="shared" si="64"/>
        <v>2.38609246814724</v>
      </c>
      <c r="AL80" s="106">
        <f t="shared" si="65"/>
        <v>0.395416666666667</v>
      </c>
      <c r="AM80" s="106">
        <f t="shared" si="52"/>
        <v>0</v>
      </c>
      <c r="AN80" s="107">
        <f t="shared" si="66"/>
        <v>0.395416666666667</v>
      </c>
      <c r="AO80" s="105">
        <f t="shared" si="53"/>
        <v>0.0926561921537323</v>
      </c>
      <c r="AP80" s="106">
        <f t="shared" si="54"/>
        <v>0.1512</v>
      </c>
      <c r="AQ80" s="107">
        <f t="shared" si="67"/>
        <v>0.0132</v>
      </c>
      <c r="AR80" s="105">
        <f t="shared" si="68"/>
        <v>0.597038109049613</v>
      </c>
      <c r="AS80" s="106">
        <f t="shared" si="69"/>
        <v>12.1666666666667</v>
      </c>
      <c r="AT80" s="107">
        <f t="shared" si="70"/>
        <v>95.3223760691683</v>
      </c>
    </row>
    <row r="81" spans="17:46">
      <c r="Q81">
        <v>74</v>
      </c>
      <c r="R81" s="105">
        <f t="shared" si="43"/>
        <v>10</v>
      </c>
      <c r="S81" s="106">
        <f t="shared" si="44"/>
        <v>1.23333333333333</v>
      </c>
      <c r="T81" s="106">
        <f t="shared" si="45"/>
        <v>4</v>
      </c>
      <c r="U81" s="107">
        <f t="shared" si="46"/>
        <v>3.08333333333333</v>
      </c>
      <c r="V81" s="105">
        <f t="shared" si="47"/>
        <v>2</v>
      </c>
      <c r="W81" s="106">
        <f t="shared" si="48"/>
        <v>0.714285714285714</v>
      </c>
      <c r="X81" s="107">
        <f t="shared" si="49"/>
        <v>0.285714285714286</v>
      </c>
      <c r="Y81" s="105">
        <f t="shared" si="55"/>
        <v>0.408163265306122</v>
      </c>
      <c r="Z81" s="106">
        <f t="shared" si="56"/>
        <v>4.72482993197279</v>
      </c>
      <c r="AA81" s="106">
        <f t="shared" si="57"/>
        <v>3.08558382623233</v>
      </c>
      <c r="AB81" s="106">
        <v>0</v>
      </c>
      <c r="AC81" s="106">
        <f t="shared" si="58"/>
        <v>0.0952082754870656</v>
      </c>
      <c r="AD81" s="107">
        <f t="shared" si="59"/>
        <v>0.0952082754870656</v>
      </c>
      <c r="AE81" s="105">
        <f t="shared" si="60"/>
        <v>2.71626984126984</v>
      </c>
      <c r="AF81" s="106">
        <f t="shared" si="61"/>
        <v>3.08558382623233</v>
      </c>
      <c r="AG81" s="106">
        <f t="shared" si="50"/>
        <v>0.0618853790665926</v>
      </c>
      <c r="AH81" s="106">
        <f t="shared" si="51"/>
        <v>-0.117245675693599</v>
      </c>
      <c r="AI81" s="107">
        <f t="shared" si="62"/>
        <v>-0.0553602966270062</v>
      </c>
      <c r="AJ81" s="105">
        <f t="shared" si="63"/>
        <v>1.23333333333333</v>
      </c>
      <c r="AK81" s="106">
        <f t="shared" si="64"/>
        <v>2.41726222290923</v>
      </c>
      <c r="AL81" s="106">
        <f t="shared" si="65"/>
        <v>0.400833333333333</v>
      </c>
      <c r="AM81" s="106">
        <f t="shared" si="52"/>
        <v>0</v>
      </c>
      <c r="AN81" s="107">
        <f t="shared" si="66"/>
        <v>0.400833333333333</v>
      </c>
      <c r="AO81" s="105">
        <f t="shared" si="53"/>
        <v>0.0952082754870656</v>
      </c>
      <c r="AP81" s="106">
        <f t="shared" si="54"/>
        <v>0.1512</v>
      </c>
      <c r="AQ81" s="107">
        <f t="shared" si="67"/>
        <v>0.0132</v>
      </c>
      <c r="AR81" s="105">
        <f t="shared" si="68"/>
        <v>0.605081312193393</v>
      </c>
      <c r="AS81" s="106">
        <f t="shared" si="69"/>
        <v>12.3333333333333</v>
      </c>
      <c r="AT81" s="107">
        <f t="shared" si="70"/>
        <v>95.3233736221107</v>
      </c>
    </row>
    <row r="82" spans="17:46">
      <c r="Q82">
        <v>75</v>
      </c>
      <c r="R82" s="105">
        <f t="shared" si="43"/>
        <v>10</v>
      </c>
      <c r="S82" s="106">
        <f t="shared" si="44"/>
        <v>1.25</v>
      </c>
      <c r="T82" s="106">
        <f t="shared" si="45"/>
        <v>4</v>
      </c>
      <c r="U82" s="107">
        <f t="shared" si="46"/>
        <v>3.125</v>
      </c>
      <c r="V82" s="105">
        <f t="shared" si="47"/>
        <v>2</v>
      </c>
      <c r="W82" s="106">
        <f t="shared" si="48"/>
        <v>0.714285714285714</v>
      </c>
      <c r="X82" s="107">
        <f t="shared" si="49"/>
        <v>0.285714285714286</v>
      </c>
      <c r="Y82" s="105">
        <f t="shared" si="55"/>
        <v>0.408163265306122</v>
      </c>
      <c r="Z82" s="106">
        <f t="shared" si="56"/>
        <v>4.78316326530612</v>
      </c>
      <c r="AA82" s="106">
        <f t="shared" si="57"/>
        <v>3.12722050777717</v>
      </c>
      <c r="AB82" s="106">
        <v>0</v>
      </c>
      <c r="AC82" s="106">
        <f t="shared" si="58"/>
        <v>0.0977950810426211</v>
      </c>
      <c r="AD82" s="107">
        <f t="shared" si="59"/>
        <v>0.0977950810426211</v>
      </c>
      <c r="AE82" s="105">
        <f t="shared" si="60"/>
        <v>2.79017857142857</v>
      </c>
      <c r="AF82" s="106">
        <f t="shared" si="61"/>
        <v>3.12722050777717</v>
      </c>
      <c r="AG82" s="106">
        <f t="shared" si="50"/>
        <v>0.0635668026777038</v>
      </c>
      <c r="AH82" s="106">
        <f t="shared" si="51"/>
        <v>-0.118830076716485</v>
      </c>
      <c r="AI82" s="107">
        <f t="shared" si="62"/>
        <v>-0.0552632740387815</v>
      </c>
      <c r="AJ82" s="105">
        <f t="shared" si="63"/>
        <v>1.25</v>
      </c>
      <c r="AK82" s="106">
        <f t="shared" si="64"/>
        <v>2.44843225074815</v>
      </c>
      <c r="AL82" s="106">
        <f t="shared" si="65"/>
        <v>0.40625</v>
      </c>
      <c r="AM82" s="106">
        <f t="shared" si="52"/>
        <v>0</v>
      </c>
      <c r="AN82" s="107">
        <f t="shared" si="66"/>
        <v>0.40625</v>
      </c>
      <c r="AO82" s="105">
        <f t="shared" si="53"/>
        <v>0.0977950810426211</v>
      </c>
      <c r="AP82" s="106">
        <f t="shared" si="54"/>
        <v>0.1512</v>
      </c>
      <c r="AQ82" s="107">
        <f t="shared" si="67"/>
        <v>0.0132</v>
      </c>
      <c r="AR82" s="105">
        <f t="shared" si="68"/>
        <v>0.61318180700384</v>
      </c>
      <c r="AS82" s="106">
        <f t="shared" si="69"/>
        <v>12.5</v>
      </c>
      <c r="AT82" s="107">
        <f t="shared" si="70"/>
        <v>95.3239281203565</v>
      </c>
    </row>
    <row r="83" spans="17:46">
      <c r="Q83">
        <v>76</v>
      </c>
      <c r="R83" s="105">
        <f t="shared" si="43"/>
        <v>10</v>
      </c>
      <c r="S83" s="106">
        <f t="shared" si="44"/>
        <v>1.26666666666667</v>
      </c>
      <c r="T83" s="106">
        <f t="shared" si="45"/>
        <v>4</v>
      </c>
      <c r="U83" s="107">
        <f t="shared" si="46"/>
        <v>3.16666666666667</v>
      </c>
      <c r="V83" s="105">
        <f t="shared" si="47"/>
        <v>2</v>
      </c>
      <c r="W83" s="106">
        <f t="shared" si="48"/>
        <v>0.714285714285714</v>
      </c>
      <c r="X83" s="107">
        <f t="shared" si="49"/>
        <v>0.285714285714286</v>
      </c>
      <c r="Y83" s="105">
        <f t="shared" si="55"/>
        <v>0.408163265306122</v>
      </c>
      <c r="Z83" s="106">
        <f t="shared" si="56"/>
        <v>4.84149659863946</v>
      </c>
      <c r="AA83" s="106">
        <f t="shared" si="57"/>
        <v>3.16885797757487</v>
      </c>
      <c r="AB83" s="106">
        <v>0</v>
      </c>
      <c r="AC83" s="106">
        <f t="shared" si="58"/>
        <v>0.100416608820399</v>
      </c>
      <c r="AD83" s="107">
        <f t="shared" si="59"/>
        <v>0.100416608820399</v>
      </c>
      <c r="AE83" s="105">
        <f t="shared" si="60"/>
        <v>2.86507936507936</v>
      </c>
      <c r="AF83" s="106">
        <f t="shared" si="61"/>
        <v>3.16885797757487</v>
      </c>
      <c r="AG83" s="106">
        <f t="shared" si="50"/>
        <v>0.0652707957332593</v>
      </c>
      <c r="AH83" s="106">
        <f t="shared" si="51"/>
        <v>-0.120414477739372</v>
      </c>
      <c r="AI83" s="107">
        <f t="shared" si="62"/>
        <v>-0.0551436820061125</v>
      </c>
      <c r="AJ83" s="105">
        <f t="shared" si="63"/>
        <v>1.26666666666667</v>
      </c>
      <c r="AK83" s="106">
        <f t="shared" si="64"/>
        <v>2.47960254136578</v>
      </c>
      <c r="AL83" s="106">
        <f t="shared" si="65"/>
        <v>0.411666666666667</v>
      </c>
      <c r="AM83" s="106">
        <f t="shared" si="52"/>
        <v>0</v>
      </c>
      <c r="AN83" s="107">
        <f t="shared" si="66"/>
        <v>0.411666666666667</v>
      </c>
      <c r="AO83" s="105">
        <f t="shared" si="53"/>
        <v>0.100416608820399</v>
      </c>
      <c r="AP83" s="106">
        <f t="shared" si="54"/>
        <v>0.1512</v>
      </c>
      <c r="AQ83" s="107">
        <f t="shared" si="67"/>
        <v>0.0132</v>
      </c>
      <c r="AR83" s="105">
        <f t="shared" si="68"/>
        <v>0.621339593480953</v>
      </c>
      <c r="AS83" s="106">
        <f t="shared" si="69"/>
        <v>12.6666666666667</v>
      </c>
      <c r="AT83" s="107">
        <f t="shared" si="70"/>
        <v>95.3240570382298</v>
      </c>
    </row>
    <row r="84" spans="17:46">
      <c r="Q84">
        <v>77</v>
      </c>
      <c r="R84" s="105">
        <f t="shared" si="43"/>
        <v>10</v>
      </c>
      <c r="S84" s="106">
        <f t="shared" si="44"/>
        <v>1.28333333333333</v>
      </c>
      <c r="T84" s="106">
        <f t="shared" si="45"/>
        <v>4</v>
      </c>
      <c r="U84" s="107">
        <f t="shared" si="46"/>
        <v>3.20833333333333</v>
      </c>
      <c r="V84" s="105">
        <f t="shared" si="47"/>
        <v>2</v>
      </c>
      <c r="W84" s="106">
        <f t="shared" si="48"/>
        <v>0.714285714285714</v>
      </c>
      <c r="X84" s="107">
        <f t="shared" si="49"/>
        <v>0.285714285714286</v>
      </c>
      <c r="Y84" s="105">
        <f t="shared" si="55"/>
        <v>0.408163265306122</v>
      </c>
      <c r="Z84" s="106">
        <f t="shared" si="56"/>
        <v>4.89982993197279</v>
      </c>
      <c r="AA84" s="106">
        <f t="shared" si="57"/>
        <v>3.21049620495647</v>
      </c>
      <c r="AB84" s="106">
        <v>0</v>
      </c>
      <c r="AC84" s="106">
        <f t="shared" si="58"/>
        <v>0.103072858820399</v>
      </c>
      <c r="AD84" s="107">
        <f t="shared" si="59"/>
        <v>0.103072858820399</v>
      </c>
      <c r="AE84" s="105">
        <f t="shared" si="60"/>
        <v>2.94097222222222</v>
      </c>
      <c r="AF84" s="106">
        <f t="shared" si="61"/>
        <v>3.21049620495647</v>
      </c>
      <c r="AG84" s="106">
        <f t="shared" si="50"/>
        <v>0.0669973582332593</v>
      </c>
      <c r="AH84" s="106">
        <f t="shared" si="51"/>
        <v>-0.121998878762258</v>
      </c>
      <c r="AI84" s="107">
        <f t="shared" si="62"/>
        <v>-0.0550015205289989</v>
      </c>
      <c r="AJ84" s="105">
        <f t="shared" si="63"/>
        <v>1.28333333333333</v>
      </c>
      <c r="AK84" s="106">
        <f t="shared" si="64"/>
        <v>2.51077308497524</v>
      </c>
      <c r="AL84" s="106">
        <f t="shared" si="65"/>
        <v>0.417083333333333</v>
      </c>
      <c r="AM84" s="106">
        <f t="shared" si="52"/>
        <v>0</v>
      </c>
      <c r="AN84" s="107">
        <f t="shared" si="66"/>
        <v>0.417083333333333</v>
      </c>
      <c r="AO84" s="105">
        <f t="shared" si="53"/>
        <v>0.103072858820399</v>
      </c>
      <c r="AP84" s="106">
        <f t="shared" si="54"/>
        <v>0.1512</v>
      </c>
      <c r="AQ84" s="107">
        <f t="shared" si="67"/>
        <v>0.0132</v>
      </c>
      <c r="AR84" s="105">
        <f t="shared" si="68"/>
        <v>0.629554671624733</v>
      </c>
      <c r="AS84" s="106">
        <f t="shared" si="69"/>
        <v>12.8333333333333</v>
      </c>
      <c r="AT84" s="107">
        <f t="shared" si="70"/>
        <v>95.3237769534079</v>
      </c>
    </row>
    <row r="85" spans="17:46">
      <c r="Q85">
        <v>78</v>
      </c>
      <c r="R85" s="105">
        <f t="shared" si="43"/>
        <v>10</v>
      </c>
      <c r="S85" s="106">
        <f t="shared" si="44"/>
        <v>1.3</v>
      </c>
      <c r="T85" s="106">
        <f t="shared" si="45"/>
        <v>4</v>
      </c>
      <c r="U85" s="107">
        <f t="shared" si="46"/>
        <v>3.25</v>
      </c>
      <c r="V85" s="105">
        <f t="shared" si="47"/>
        <v>2</v>
      </c>
      <c r="W85" s="106">
        <f t="shared" si="48"/>
        <v>0.714285714285714</v>
      </c>
      <c r="X85" s="107">
        <f t="shared" si="49"/>
        <v>0.285714285714286</v>
      </c>
      <c r="Y85" s="105">
        <f t="shared" si="55"/>
        <v>0.408163265306122</v>
      </c>
      <c r="Z85" s="106">
        <f t="shared" si="56"/>
        <v>4.95816326530612</v>
      </c>
      <c r="AA85" s="106">
        <f t="shared" si="57"/>
        <v>3.25213516082313</v>
      </c>
      <c r="AB85" s="106">
        <v>0</v>
      </c>
      <c r="AC85" s="106">
        <f t="shared" si="58"/>
        <v>0.105763831042621</v>
      </c>
      <c r="AD85" s="107">
        <f t="shared" si="59"/>
        <v>0.105763831042621</v>
      </c>
      <c r="AE85" s="105">
        <f t="shared" si="60"/>
        <v>3.01785714285714</v>
      </c>
      <c r="AF85" s="106">
        <f t="shared" si="61"/>
        <v>3.25213516082313</v>
      </c>
      <c r="AG85" s="106">
        <f t="shared" si="50"/>
        <v>0.0687464901777037</v>
      </c>
      <c r="AH85" s="106">
        <f t="shared" si="51"/>
        <v>-0.123583279785145</v>
      </c>
      <c r="AI85" s="107">
        <f t="shared" si="62"/>
        <v>-0.054836789607441</v>
      </c>
      <c r="AJ85" s="105">
        <f t="shared" si="63"/>
        <v>1.3</v>
      </c>
      <c r="AK85" s="106">
        <f t="shared" si="64"/>
        <v>2.54194387226959</v>
      </c>
      <c r="AL85" s="106">
        <f t="shared" si="65"/>
        <v>0.4225</v>
      </c>
      <c r="AM85" s="106">
        <f t="shared" si="52"/>
        <v>0</v>
      </c>
      <c r="AN85" s="107">
        <f t="shared" si="66"/>
        <v>0.4225</v>
      </c>
      <c r="AO85" s="105">
        <f t="shared" si="53"/>
        <v>0.105763831042621</v>
      </c>
      <c r="AP85" s="106">
        <f t="shared" si="54"/>
        <v>0.1512</v>
      </c>
      <c r="AQ85" s="107">
        <f t="shared" si="67"/>
        <v>0.0132</v>
      </c>
      <c r="AR85" s="105">
        <f t="shared" si="68"/>
        <v>0.63782704143518</v>
      </c>
      <c r="AS85" s="106">
        <f t="shared" si="69"/>
        <v>13</v>
      </c>
      <c r="AT85" s="107">
        <f t="shared" si="70"/>
        <v>95.3231036036951</v>
      </c>
    </row>
    <row r="86" spans="17:46">
      <c r="Q86">
        <v>79</v>
      </c>
      <c r="R86" s="105">
        <f t="shared" si="43"/>
        <v>10</v>
      </c>
      <c r="S86" s="106">
        <f t="shared" si="44"/>
        <v>1.31666666666667</v>
      </c>
      <c r="T86" s="106">
        <f t="shared" si="45"/>
        <v>4</v>
      </c>
      <c r="U86" s="107">
        <f t="shared" si="46"/>
        <v>3.29166666666667</v>
      </c>
      <c r="V86" s="105">
        <f t="shared" si="47"/>
        <v>2</v>
      </c>
      <c r="W86" s="106">
        <f t="shared" si="48"/>
        <v>0.714285714285714</v>
      </c>
      <c r="X86" s="107">
        <f t="shared" si="49"/>
        <v>0.285714285714286</v>
      </c>
      <c r="Y86" s="105">
        <f t="shared" si="55"/>
        <v>0.408163265306122</v>
      </c>
      <c r="Z86" s="106">
        <f t="shared" si="56"/>
        <v>5.01649659863946</v>
      </c>
      <c r="AA86" s="106">
        <f t="shared" si="57"/>
        <v>3.29377481754697</v>
      </c>
      <c r="AB86" s="106">
        <v>0</v>
      </c>
      <c r="AC86" s="106">
        <f t="shared" si="58"/>
        <v>0.108489525487066</v>
      </c>
      <c r="AD86" s="107">
        <f t="shared" si="59"/>
        <v>0.108489525487066</v>
      </c>
      <c r="AE86" s="105">
        <f t="shared" si="60"/>
        <v>3.09573412698413</v>
      </c>
      <c r="AF86" s="106">
        <f t="shared" si="61"/>
        <v>3.29377481754697</v>
      </c>
      <c r="AG86" s="106">
        <f t="shared" si="50"/>
        <v>0.0705181915665926</v>
      </c>
      <c r="AH86" s="106">
        <f t="shared" si="51"/>
        <v>-0.125167680808031</v>
      </c>
      <c r="AI86" s="107">
        <f t="shared" si="62"/>
        <v>-0.0546494892414385</v>
      </c>
      <c r="AJ86" s="105">
        <f t="shared" si="63"/>
        <v>1.31666666666667</v>
      </c>
      <c r="AK86" s="106">
        <f t="shared" si="64"/>
        <v>2.57311489439284</v>
      </c>
      <c r="AL86" s="106">
        <f t="shared" si="65"/>
        <v>0.427916666666667</v>
      </c>
      <c r="AM86" s="106">
        <f t="shared" si="52"/>
        <v>0</v>
      </c>
      <c r="AN86" s="107">
        <f t="shared" si="66"/>
        <v>0.427916666666667</v>
      </c>
      <c r="AO86" s="105">
        <f t="shared" si="53"/>
        <v>0.108489525487066</v>
      </c>
      <c r="AP86" s="106">
        <f t="shared" si="54"/>
        <v>0.1512</v>
      </c>
      <c r="AQ86" s="107">
        <f t="shared" si="67"/>
        <v>0.0132</v>
      </c>
      <c r="AR86" s="105">
        <f t="shared" si="68"/>
        <v>0.646156702912294</v>
      </c>
      <c r="AS86" s="106">
        <f t="shared" si="69"/>
        <v>13.1666666666667</v>
      </c>
      <c r="AT86" s="107">
        <f t="shared" si="70"/>
        <v>95.3220519395378</v>
      </c>
    </row>
    <row r="87" spans="17:46">
      <c r="Q87">
        <v>80</v>
      </c>
      <c r="R87" s="105">
        <f t="shared" si="43"/>
        <v>10</v>
      </c>
      <c r="S87" s="106">
        <f t="shared" si="44"/>
        <v>1.33333333333333</v>
      </c>
      <c r="T87" s="106">
        <f t="shared" si="45"/>
        <v>4</v>
      </c>
      <c r="U87" s="107">
        <f t="shared" si="46"/>
        <v>3.33333333333333</v>
      </c>
      <c r="V87" s="105">
        <f t="shared" si="47"/>
        <v>2</v>
      </c>
      <c r="W87" s="106">
        <f t="shared" si="48"/>
        <v>0.714285714285714</v>
      </c>
      <c r="X87" s="107">
        <f t="shared" si="49"/>
        <v>0.285714285714286</v>
      </c>
      <c r="Y87" s="105">
        <f t="shared" si="55"/>
        <v>0.408163265306122</v>
      </c>
      <c r="Z87" s="106">
        <f t="shared" si="56"/>
        <v>5.07482993197279</v>
      </c>
      <c r="AA87" s="106">
        <f t="shared" si="57"/>
        <v>3.33541514887925</v>
      </c>
      <c r="AB87" s="106">
        <v>0</v>
      </c>
      <c r="AC87" s="106">
        <f t="shared" si="58"/>
        <v>0.111249942153732</v>
      </c>
      <c r="AD87" s="107">
        <f t="shared" si="59"/>
        <v>0.111249942153732</v>
      </c>
      <c r="AE87" s="105">
        <f t="shared" si="60"/>
        <v>3.17460317460317</v>
      </c>
      <c r="AF87" s="106">
        <f t="shared" si="61"/>
        <v>3.33541514887925</v>
      </c>
      <c r="AG87" s="106">
        <f t="shared" si="50"/>
        <v>0.0723124623999259</v>
      </c>
      <c r="AH87" s="106">
        <f t="shared" si="51"/>
        <v>-0.126752081830918</v>
      </c>
      <c r="AI87" s="107">
        <f t="shared" si="62"/>
        <v>-0.0544396194309917</v>
      </c>
      <c r="AJ87" s="105">
        <f t="shared" si="63"/>
        <v>1.33333333333333</v>
      </c>
      <c r="AK87" s="106">
        <f t="shared" si="64"/>
        <v>2.60428614291288</v>
      </c>
      <c r="AL87" s="106">
        <f t="shared" si="65"/>
        <v>0.433333333333333</v>
      </c>
      <c r="AM87" s="106">
        <f t="shared" si="52"/>
        <v>0</v>
      </c>
      <c r="AN87" s="107">
        <f t="shared" si="66"/>
        <v>0.433333333333333</v>
      </c>
      <c r="AO87" s="105">
        <f t="shared" si="53"/>
        <v>0.111249942153732</v>
      </c>
      <c r="AP87" s="106">
        <f t="shared" si="54"/>
        <v>0.1512</v>
      </c>
      <c r="AQ87" s="107">
        <f t="shared" si="67"/>
        <v>0.0132</v>
      </c>
      <c r="AR87" s="105">
        <f t="shared" si="68"/>
        <v>0.654543656056074</v>
      </c>
      <c r="AS87" s="106">
        <f t="shared" si="69"/>
        <v>13.3333333333333</v>
      </c>
      <c r="AT87" s="107">
        <f t="shared" si="70"/>
        <v>95.3206361726473</v>
      </c>
    </row>
    <row r="88" spans="17:46">
      <c r="Q88">
        <v>81</v>
      </c>
      <c r="R88" s="105">
        <f t="shared" si="43"/>
        <v>10</v>
      </c>
      <c r="S88" s="106">
        <f t="shared" si="44"/>
        <v>1.35</v>
      </c>
      <c r="T88" s="106">
        <f t="shared" si="45"/>
        <v>4</v>
      </c>
      <c r="U88" s="107">
        <f t="shared" si="46"/>
        <v>3.375</v>
      </c>
      <c r="V88" s="105">
        <f t="shared" si="47"/>
        <v>2</v>
      </c>
      <c r="W88" s="106">
        <f t="shared" si="48"/>
        <v>0.714285714285714</v>
      </c>
      <c r="X88" s="107">
        <f t="shared" si="49"/>
        <v>0.285714285714286</v>
      </c>
      <c r="Y88" s="105">
        <f t="shared" si="55"/>
        <v>0.408163265306122</v>
      </c>
      <c r="Z88" s="106">
        <f t="shared" si="56"/>
        <v>5.13316326530612</v>
      </c>
      <c r="AA88" s="106">
        <f t="shared" si="57"/>
        <v>3.37705612986549</v>
      </c>
      <c r="AB88" s="106">
        <v>0</v>
      </c>
      <c r="AC88" s="106">
        <f t="shared" si="58"/>
        <v>0.114045081042621</v>
      </c>
      <c r="AD88" s="107">
        <f t="shared" si="59"/>
        <v>0.114045081042621</v>
      </c>
      <c r="AE88" s="105">
        <f t="shared" si="60"/>
        <v>3.25446428571429</v>
      </c>
      <c r="AF88" s="106">
        <f t="shared" si="61"/>
        <v>3.37705612986549</v>
      </c>
      <c r="AG88" s="106">
        <f t="shared" si="50"/>
        <v>0.0741293026777037</v>
      </c>
      <c r="AH88" s="106">
        <f t="shared" si="51"/>
        <v>-0.128336482853804</v>
      </c>
      <c r="AI88" s="107">
        <f t="shared" si="62"/>
        <v>-0.0542071801761003</v>
      </c>
      <c r="AJ88" s="105">
        <f t="shared" si="63"/>
        <v>1.35</v>
      </c>
      <c r="AK88" s="106">
        <f t="shared" si="64"/>
        <v>2.63545760979649</v>
      </c>
      <c r="AL88" s="106">
        <f t="shared" si="65"/>
        <v>0.43875</v>
      </c>
      <c r="AM88" s="106">
        <f t="shared" si="52"/>
        <v>0</v>
      </c>
      <c r="AN88" s="107">
        <f t="shared" si="66"/>
        <v>0.43875</v>
      </c>
      <c r="AO88" s="105">
        <f t="shared" si="53"/>
        <v>0.114045081042621</v>
      </c>
      <c r="AP88" s="106">
        <f t="shared" si="54"/>
        <v>0.1512</v>
      </c>
      <c r="AQ88" s="107">
        <f t="shared" si="67"/>
        <v>0.0132</v>
      </c>
      <c r="AR88" s="105">
        <f t="shared" si="68"/>
        <v>0.662987900866521</v>
      </c>
      <c r="AS88" s="106">
        <f t="shared" si="69"/>
        <v>13.5</v>
      </c>
      <c r="AT88" s="107">
        <f t="shared" si="70"/>
        <v>95.318869821064</v>
      </c>
    </row>
    <row r="89" spans="17:46">
      <c r="Q89">
        <v>82</v>
      </c>
      <c r="R89" s="105">
        <f t="shared" si="43"/>
        <v>10</v>
      </c>
      <c r="S89" s="106">
        <f t="shared" si="44"/>
        <v>1.36666666666667</v>
      </c>
      <c r="T89" s="106">
        <f t="shared" si="45"/>
        <v>4</v>
      </c>
      <c r="U89" s="107">
        <f t="shared" si="46"/>
        <v>3.41666666666667</v>
      </c>
      <c r="V89" s="105">
        <f t="shared" si="47"/>
        <v>2</v>
      </c>
      <c r="W89" s="106">
        <f t="shared" si="48"/>
        <v>0.714285714285714</v>
      </c>
      <c r="X89" s="107">
        <f t="shared" si="49"/>
        <v>0.285714285714286</v>
      </c>
      <c r="Y89" s="105">
        <f t="shared" si="55"/>
        <v>0.408163265306122</v>
      </c>
      <c r="Z89" s="106">
        <f t="shared" si="56"/>
        <v>5.19149659863946</v>
      </c>
      <c r="AA89" s="106">
        <f t="shared" si="57"/>
        <v>3.41869773676662</v>
      </c>
      <c r="AB89" s="106">
        <v>0</v>
      </c>
      <c r="AC89" s="106">
        <f t="shared" si="58"/>
        <v>0.116874942153732</v>
      </c>
      <c r="AD89" s="107">
        <f t="shared" si="59"/>
        <v>0.116874942153732</v>
      </c>
      <c r="AE89" s="105">
        <f t="shared" si="60"/>
        <v>3.33531746031746</v>
      </c>
      <c r="AF89" s="106">
        <f t="shared" si="61"/>
        <v>3.41869773676662</v>
      </c>
      <c r="AG89" s="106">
        <f t="shared" si="50"/>
        <v>0.075968712399926</v>
      </c>
      <c r="AH89" s="106">
        <f t="shared" si="51"/>
        <v>-0.129920883876691</v>
      </c>
      <c r="AI89" s="107">
        <f t="shared" si="62"/>
        <v>-0.0539521714767646</v>
      </c>
      <c r="AJ89" s="105">
        <f t="shared" si="63"/>
        <v>1.36666666666667</v>
      </c>
      <c r="AK89" s="106">
        <f t="shared" si="64"/>
        <v>2.66662928738603</v>
      </c>
      <c r="AL89" s="106">
        <f t="shared" si="65"/>
        <v>0.444166666666667</v>
      </c>
      <c r="AM89" s="106">
        <f t="shared" si="52"/>
        <v>0</v>
      </c>
      <c r="AN89" s="107">
        <f t="shared" si="66"/>
        <v>0.444166666666667</v>
      </c>
      <c r="AO89" s="105">
        <f t="shared" si="53"/>
        <v>0.116874942153732</v>
      </c>
      <c r="AP89" s="106">
        <f t="shared" si="54"/>
        <v>0.1512</v>
      </c>
      <c r="AQ89" s="107">
        <f t="shared" si="67"/>
        <v>0.0132</v>
      </c>
      <c r="AR89" s="105">
        <f t="shared" si="68"/>
        <v>0.671489437343634</v>
      </c>
      <c r="AS89" s="106">
        <f t="shared" si="69"/>
        <v>13.6666666666667</v>
      </c>
      <c r="AT89" s="107">
        <f t="shared" si="70"/>
        <v>95.3167657509614</v>
      </c>
    </row>
    <row r="90" spans="17:46">
      <c r="Q90">
        <v>83</v>
      </c>
      <c r="R90" s="105">
        <f t="shared" si="43"/>
        <v>10</v>
      </c>
      <c r="S90" s="106">
        <f t="shared" si="44"/>
        <v>1.38333333333333</v>
      </c>
      <c r="T90" s="106">
        <f t="shared" si="45"/>
        <v>4</v>
      </c>
      <c r="U90" s="107">
        <f t="shared" si="46"/>
        <v>3.45833333333333</v>
      </c>
      <c r="V90" s="105">
        <f t="shared" si="47"/>
        <v>2</v>
      </c>
      <c r="W90" s="106">
        <f t="shared" si="48"/>
        <v>0.714285714285714</v>
      </c>
      <c r="X90" s="107">
        <f t="shared" si="49"/>
        <v>0.285714285714286</v>
      </c>
      <c r="Y90" s="105">
        <f t="shared" si="55"/>
        <v>0.408163265306122</v>
      </c>
      <c r="Z90" s="106">
        <f t="shared" si="56"/>
        <v>5.24982993197279</v>
      </c>
      <c r="AA90" s="106">
        <f t="shared" si="57"/>
        <v>3.46033994698593</v>
      </c>
      <c r="AB90" s="106">
        <v>0</v>
      </c>
      <c r="AC90" s="106">
        <f t="shared" si="58"/>
        <v>0.119739525487066</v>
      </c>
      <c r="AD90" s="107">
        <f t="shared" si="59"/>
        <v>0.119739525487066</v>
      </c>
      <c r="AE90" s="105">
        <f t="shared" si="60"/>
        <v>3.4171626984127</v>
      </c>
      <c r="AF90" s="106">
        <f t="shared" si="61"/>
        <v>3.46033994698593</v>
      </c>
      <c r="AG90" s="106">
        <f t="shared" si="50"/>
        <v>0.0778306915665926</v>
      </c>
      <c r="AH90" s="106">
        <f t="shared" si="51"/>
        <v>-0.131505284899577</v>
      </c>
      <c r="AI90" s="107">
        <f t="shared" si="62"/>
        <v>-0.0536745933329844</v>
      </c>
      <c r="AJ90" s="105">
        <f t="shared" si="63"/>
        <v>1.38333333333333</v>
      </c>
      <c r="AK90" s="106">
        <f t="shared" si="64"/>
        <v>2.69780116837769</v>
      </c>
      <c r="AL90" s="106">
        <f t="shared" si="65"/>
        <v>0.449583333333333</v>
      </c>
      <c r="AM90" s="106">
        <f t="shared" si="52"/>
        <v>0</v>
      </c>
      <c r="AN90" s="107">
        <f t="shared" si="66"/>
        <v>0.449583333333333</v>
      </c>
      <c r="AO90" s="105">
        <f t="shared" si="53"/>
        <v>0.119739525487066</v>
      </c>
      <c r="AP90" s="106">
        <f t="shared" si="54"/>
        <v>0.1512</v>
      </c>
      <c r="AQ90" s="107">
        <f t="shared" si="67"/>
        <v>0.0132</v>
      </c>
      <c r="AR90" s="105">
        <f t="shared" si="68"/>
        <v>0.680048265487414</v>
      </c>
      <c r="AS90" s="106">
        <f t="shared" si="69"/>
        <v>13.8333333333333</v>
      </c>
      <c r="AT90" s="107">
        <f t="shared" si="70"/>
        <v>95.3143362154643</v>
      </c>
    </row>
    <row r="91" spans="17:46">
      <c r="Q91">
        <v>84</v>
      </c>
      <c r="R91" s="105">
        <f t="shared" si="43"/>
        <v>10</v>
      </c>
      <c r="S91" s="106">
        <f t="shared" si="44"/>
        <v>1.4</v>
      </c>
      <c r="T91" s="106">
        <f t="shared" si="45"/>
        <v>4</v>
      </c>
      <c r="U91" s="107">
        <f t="shared" si="46"/>
        <v>3.5</v>
      </c>
      <c r="V91" s="105">
        <f t="shared" si="47"/>
        <v>2</v>
      </c>
      <c r="W91" s="106">
        <f t="shared" si="48"/>
        <v>0.714285714285714</v>
      </c>
      <c r="X91" s="107">
        <f t="shared" si="49"/>
        <v>0.285714285714286</v>
      </c>
      <c r="Y91" s="105">
        <f t="shared" si="55"/>
        <v>0.408163265306122</v>
      </c>
      <c r="Z91" s="106">
        <f t="shared" si="56"/>
        <v>5.30816326530612</v>
      </c>
      <c r="AA91" s="106">
        <f t="shared" si="57"/>
        <v>3.50198273900117</v>
      </c>
      <c r="AB91" s="106">
        <v>0</v>
      </c>
      <c r="AC91" s="106">
        <f t="shared" si="58"/>
        <v>0.122638831042621</v>
      </c>
      <c r="AD91" s="107">
        <f t="shared" si="59"/>
        <v>0.122638831042621</v>
      </c>
      <c r="AE91" s="105">
        <f t="shared" si="60"/>
        <v>3.5</v>
      </c>
      <c r="AF91" s="106">
        <f t="shared" si="61"/>
        <v>3.50198273900117</v>
      </c>
      <c r="AG91" s="106">
        <f t="shared" si="50"/>
        <v>0.0797152401777038</v>
      </c>
      <c r="AH91" s="106">
        <f t="shared" si="51"/>
        <v>-0.133089685922464</v>
      </c>
      <c r="AI91" s="107">
        <f t="shared" si="62"/>
        <v>-0.0533744457447598</v>
      </c>
      <c r="AJ91" s="105">
        <f t="shared" si="63"/>
        <v>1.4</v>
      </c>
      <c r="AK91" s="106">
        <f t="shared" si="64"/>
        <v>2.72897324580135</v>
      </c>
      <c r="AL91" s="106">
        <f t="shared" si="65"/>
        <v>0.455</v>
      </c>
      <c r="AM91" s="106">
        <f t="shared" si="52"/>
        <v>0</v>
      </c>
      <c r="AN91" s="107">
        <f t="shared" si="66"/>
        <v>0.455</v>
      </c>
      <c r="AO91" s="105">
        <f t="shared" si="53"/>
        <v>0.122638831042621</v>
      </c>
      <c r="AP91" s="106">
        <f t="shared" si="54"/>
        <v>0.1512</v>
      </c>
      <c r="AQ91" s="107">
        <f t="shared" si="67"/>
        <v>0.0132</v>
      </c>
      <c r="AR91" s="105">
        <f t="shared" si="68"/>
        <v>0.688664385297861</v>
      </c>
      <c r="AS91" s="106">
        <f t="shared" si="69"/>
        <v>14</v>
      </c>
      <c r="AT91" s="107">
        <f t="shared" si="70"/>
        <v>95.3115928907249</v>
      </c>
    </row>
    <row r="92" spans="17:46">
      <c r="Q92">
        <v>85</v>
      </c>
      <c r="R92" s="105">
        <f t="shared" si="43"/>
        <v>10</v>
      </c>
      <c r="S92" s="106">
        <f t="shared" si="44"/>
        <v>1.41666666666667</v>
      </c>
      <c r="T92" s="106">
        <f t="shared" si="45"/>
        <v>4</v>
      </c>
      <c r="U92" s="107">
        <f t="shared" si="46"/>
        <v>3.54166666666667</v>
      </c>
      <c r="V92" s="105">
        <f t="shared" si="47"/>
        <v>2</v>
      </c>
      <c r="W92" s="106">
        <f t="shared" si="48"/>
        <v>0.714285714285714</v>
      </c>
      <c r="X92" s="107">
        <f t="shared" si="49"/>
        <v>0.285714285714286</v>
      </c>
      <c r="Y92" s="105">
        <f t="shared" si="55"/>
        <v>0.408163265306122</v>
      </c>
      <c r="Z92" s="106">
        <f t="shared" si="56"/>
        <v>5.36649659863946</v>
      </c>
      <c r="AA92" s="106">
        <f t="shared" si="57"/>
        <v>3.54362609230149</v>
      </c>
      <c r="AB92" s="106">
        <v>0</v>
      </c>
      <c r="AC92" s="106">
        <f t="shared" si="58"/>
        <v>0.125572858820399</v>
      </c>
      <c r="AD92" s="107">
        <f t="shared" si="59"/>
        <v>0.125572858820399</v>
      </c>
      <c r="AE92" s="105">
        <f t="shared" si="60"/>
        <v>3.58382936507937</v>
      </c>
      <c r="AF92" s="106">
        <f t="shared" si="61"/>
        <v>3.54362609230149</v>
      </c>
      <c r="AG92" s="106">
        <f t="shared" si="50"/>
        <v>0.0816223582332593</v>
      </c>
      <c r="AH92" s="106">
        <f t="shared" si="51"/>
        <v>-0.13467408694535</v>
      </c>
      <c r="AI92" s="107">
        <f t="shared" si="62"/>
        <v>-0.0530517287120907</v>
      </c>
      <c r="AJ92" s="105">
        <f t="shared" si="63"/>
        <v>1.41666666666667</v>
      </c>
      <c r="AK92" s="106">
        <f t="shared" si="64"/>
        <v>2.76014551300172</v>
      </c>
      <c r="AL92" s="106">
        <f t="shared" si="65"/>
        <v>0.460416666666667</v>
      </c>
      <c r="AM92" s="106">
        <f t="shared" si="52"/>
        <v>0</v>
      </c>
      <c r="AN92" s="107">
        <f t="shared" si="66"/>
        <v>0.460416666666667</v>
      </c>
      <c r="AO92" s="105">
        <f t="shared" si="53"/>
        <v>0.125572858820399</v>
      </c>
      <c r="AP92" s="106">
        <f t="shared" si="54"/>
        <v>0.1512</v>
      </c>
      <c r="AQ92" s="107">
        <f t="shared" si="67"/>
        <v>0.0132</v>
      </c>
      <c r="AR92" s="105">
        <f t="shared" si="68"/>
        <v>0.697337796774975</v>
      </c>
      <c r="AS92" s="106">
        <f t="shared" si="69"/>
        <v>14.1666666666667</v>
      </c>
      <c r="AT92" s="107">
        <f t="shared" si="70"/>
        <v>95.3085469094813</v>
      </c>
    </row>
    <row r="93" spans="17:46">
      <c r="Q93">
        <v>86</v>
      </c>
      <c r="R93" s="105">
        <f t="shared" si="43"/>
        <v>10</v>
      </c>
      <c r="S93" s="106">
        <f t="shared" si="44"/>
        <v>1.43333333333333</v>
      </c>
      <c r="T93" s="106">
        <f t="shared" si="45"/>
        <v>4</v>
      </c>
      <c r="U93" s="107">
        <f t="shared" si="46"/>
        <v>3.58333333333333</v>
      </c>
      <c r="V93" s="105">
        <f t="shared" si="47"/>
        <v>2</v>
      </c>
      <c r="W93" s="106">
        <f t="shared" si="48"/>
        <v>0.714285714285714</v>
      </c>
      <c r="X93" s="107">
        <f t="shared" si="49"/>
        <v>0.285714285714286</v>
      </c>
      <c r="Y93" s="105">
        <f t="shared" si="55"/>
        <v>0.408163265306122</v>
      </c>
      <c r="Z93" s="106">
        <f t="shared" si="56"/>
        <v>5.42482993197279</v>
      </c>
      <c r="AA93" s="106">
        <f t="shared" si="57"/>
        <v>3.58526998732869</v>
      </c>
      <c r="AB93" s="106">
        <v>0</v>
      </c>
      <c r="AC93" s="106">
        <f t="shared" si="58"/>
        <v>0.128541608820399</v>
      </c>
      <c r="AD93" s="107">
        <f t="shared" si="59"/>
        <v>0.128541608820399</v>
      </c>
      <c r="AE93" s="105">
        <f t="shared" si="60"/>
        <v>3.66865079365079</v>
      </c>
      <c r="AF93" s="106">
        <f t="shared" si="61"/>
        <v>3.58526998732869</v>
      </c>
      <c r="AG93" s="106">
        <f t="shared" si="50"/>
        <v>0.0835520457332593</v>
      </c>
      <c r="AH93" s="106">
        <f t="shared" si="51"/>
        <v>-0.136258487968236</v>
      </c>
      <c r="AI93" s="107">
        <f t="shared" si="62"/>
        <v>-0.0527064422349772</v>
      </c>
      <c r="AJ93" s="105">
        <f t="shared" si="63"/>
        <v>1.43333333333333</v>
      </c>
      <c r="AK93" s="106">
        <f t="shared" si="64"/>
        <v>2.79131796362077</v>
      </c>
      <c r="AL93" s="106">
        <f t="shared" si="65"/>
        <v>0.465833333333333</v>
      </c>
      <c r="AM93" s="106">
        <f t="shared" si="52"/>
        <v>0</v>
      </c>
      <c r="AN93" s="107">
        <f t="shared" si="66"/>
        <v>0.465833333333333</v>
      </c>
      <c r="AO93" s="105">
        <f t="shared" si="53"/>
        <v>0.128541608820399</v>
      </c>
      <c r="AP93" s="106">
        <f t="shared" si="54"/>
        <v>0.1512</v>
      </c>
      <c r="AQ93" s="107">
        <f t="shared" si="67"/>
        <v>0.0132</v>
      </c>
      <c r="AR93" s="105">
        <f t="shared" si="68"/>
        <v>0.706068499918755</v>
      </c>
      <c r="AS93" s="106">
        <f t="shared" si="69"/>
        <v>14.3333333333333</v>
      </c>
      <c r="AT93" s="107">
        <f t="shared" si="70"/>
        <v>95.3052088923002</v>
      </c>
    </row>
    <row r="94" spans="17:46">
      <c r="Q94">
        <v>87</v>
      </c>
      <c r="R94" s="105">
        <f t="shared" si="43"/>
        <v>10</v>
      </c>
      <c r="S94" s="106">
        <f t="shared" si="44"/>
        <v>1.45</v>
      </c>
      <c r="T94" s="106">
        <f t="shared" si="45"/>
        <v>4</v>
      </c>
      <c r="U94" s="107">
        <f t="shared" si="46"/>
        <v>3.625</v>
      </c>
      <c r="V94" s="105">
        <f t="shared" si="47"/>
        <v>2</v>
      </c>
      <c r="W94" s="106">
        <f t="shared" si="48"/>
        <v>0.714285714285714</v>
      </c>
      <c r="X94" s="107">
        <f t="shared" si="49"/>
        <v>0.285714285714286</v>
      </c>
      <c r="Y94" s="105">
        <f t="shared" si="55"/>
        <v>0.408163265306122</v>
      </c>
      <c r="Z94" s="106">
        <f t="shared" si="56"/>
        <v>5.48316326530612</v>
      </c>
      <c r="AA94" s="106">
        <f t="shared" si="57"/>
        <v>3.62691440542262</v>
      </c>
      <c r="AB94" s="106">
        <v>0</v>
      </c>
      <c r="AC94" s="106">
        <f t="shared" si="58"/>
        <v>0.131545081042621</v>
      </c>
      <c r="AD94" s="107">
        <f t="shared" si="59"/>
        <v>0.131545081042621</v>
      </c>
      <c r="AE94" s="105">
        <f t="shared" si="60"/>
        <v>3.75446428571429</v>
      </c>
      <c r="AF94" s="106">
        <f t="shared" si="61"/>
        <v>3.62691440542262</v>
      </c>
      <c r="AG94" s="106">
        <f t="shared" si="50"/>
        <v>0.0855043026777038</v>
      </c>
      <c r="AH94" s="106">
        <f t="shared" si="51"/>
        <v>-0.137842888991123</v>
      </c>
      <c r="AI94" s="107">
        <f t="shared" si="62"/>
        <v>-0.0523385863134192</v>
      </c>
      <c r="AJ94" s="105">
        <f t="shared" si="63"/>
        <v>1.45</v>
      </c>
      <c r="AK94" s="106">
        <f t="shared" si="64"/>
        <v>2.82249059158128</v>
      </c>
      <c r="AL94" s="106">
        <f t="shared" si="65"/>
        <v>0.47125</v>
      </c>
      <c r="AM94" s="106">
        <f t="shared" si="52"/>
        <v>0</v>
      </c>
      <c r="AN94" s="107">
        <f t="shared" si="66"/>
        <v>0.47125</v>
      </c>
      <c r="AO94" s="105">
        <f t="shared" si="53"/>
        <v>0.131545081042621</v>
      </c>
      <c r="AP94" s="106">
        <f t="shared" si="54"/>
        <v>0.1512</v>
      </c>
      <c r="AQ94" s="107">
        <f t="shared" si="67"/>
        <v>0.0132</v>
      </c>
      <c r="AR94" s="105">
        <f t="shared" si="68"/>
        <v>0.714856494729202</v>
      </c>
      <c r="AS94" s="106">
        <f t="shared" si="69"/>
        <v>14.5</v>
      </c>
      <c r="AT94" s="107">
        <f t="shared" si="70"/>
        <v>95.3015889766897</v>
      </c>
    </row>
    <row r="95" spans="17:46">
      <c r="Q95">
        <v>88</v>
      </c>
      <c r="R95" s="105">
        <f t="shared" si="43"/>
        <v>10</v>
      </c>
      <c r="S95" s="106">
        <f t="shared" si="44"/>
        <v>1.46666666666667</v>
      </c>
      <c r="T95" s="106">
        <f t="shared" si="45"/>
        <v>4</v>
      </c>
      <c r="U95" s="107">
        <f t="shared" si="46"/>
        <v>3.66666666666667</v>
      </c>
      <c r="V95" s="105">
        <f t="shared" si="47"/>
        <v>2</v>
      </c>
      <c r="W95" s="106">
        <f t="shared" si="48"/>
        <v>0.714285714285714</v>
      </c>
      <c r="X95" s="107">
        <f t="shared" si="49"/>
        <v>0.285714285714286</v>
      </c>
      <c r="Y95" s="105">
        <f t="shared" si="55"/>
        <v>0.408163265306122</v>
      </c>
      <c r="Z95" s="106">
        <f t="shared" si="56"/>
        <v>5.54149659863945</v>
      </c>
      <c r="AA95" s="106">
        <f t="shared" si="57"/>
        <v>3.66855932877016</v>
      </c>
      <c r="AB95" s="106">
        <v>0</v>
      </c>
      <c r="AC95" s="106">
        <f t="shared" si="58"/>
        <v>0.134583275487066</v>
      </c>
      <c r="AD95" s="107">
        <f t="shared" si="59"/>
        <v>0.134583275487066</v>
      </c>
      <c r="AE95" s="105">
        <f t="shared" si="60"/>
        <v>3.84126984126984</v>
      </c>
      <c r="AF95" s="106">
        <f t="shared" si="61"/>
        <v>3.66855932877016</v>
      </c>
      <c r="AG95" s="106">
        <f t="shared" si="50"/>
        <v>0.0874791290665926</v>
      </c>
      <c r="AH95" s="106">
        <f t="shared" si="51"/>
        <v>-0.139427290014009</v>
      </c>
      <c r="AI95" s="107">
        <f t="shared" si="62"/>
        <v>-0.0519481609474168</v>
      </c>
      <c r="AJ95" s="105">
        <f t="shared" si="63"/>
        <v>1.46666666666667</v>
      </c>
      <c r="AK95" s="106">
        <f t="shared" si="64"/>
        <v>2.85366339107159</v>
      </c>
      <c r="AL95" s="106">
        <f t="shared" si="65"/>
        <v>0.476666666666667</v>
      </c>
      <c r="AM95" s="106">
        <f t="shared" si="52"/>
        <v>0</v>
      </c>
      <c r="AN95" s="107">
        <f t="shared" si="66"/>
        <v>0.476666666666667</v>
      </c>
      <c r="AO95" s="105">
        <f t="shared" si="53"/>
        <v>0.134583275487066</v>
      </c>
      <c r="AP95" s="106">
        <f t="shared" si="54"/>
        <v>0.1512</v>
      </c>
      <c r="AQ95" s="107">
        <f t="shared" si="67"/>
        <v>0.0132</v>
      </c>
      <c r="AR95" s="105">
        <f t="shared" si="68"/>
        <v>0.723701781206315</v>
      </c>
      <c r="AS95" s="106">
        <f t="shared" si="69"/>
        <v>14.6666666666667</v>
      </c>
      <c r="AT95" s="107">
        <f t="shared" si="70"/>
        <v>95.2976968442472</v>
      </c>
    </row>
    <row r="96" spans="17:46">
      <c r="Q96">
        <v>89</v>
      </c>
      <c r="R96" s="105">
        <f t="shared" si="43"/>
        <v>10</v>
      </c>
      <c r="S96" s="106">
        <f t="shared" si="44"/>
        <v>1.48333333333333</v>
      </c>
      <c r="T96" s="106">
        <f t="shared" si="45"/>
        <v>4</v>
      </c>
      <c r="U96" s="107">
        <f t="shared" si="46"/>
        <v>3.70833333333333</v>
      </c>
      <c r="V96" s="105">
        <f t="shared" si="47"/>
        <v>2</v>
      </c>
      <c r="W96" s="106">
        <f t="shared" si="48"/>
        <v>0.714285714285714</v>
      </c>
      <c r="X96" s="107">
        <f t="shared" si="49"/>
        <v>0.285714285714286</v>
      </c>
      <c r="Y96" s="105">
        <f t="shared" si="55"/>
        <v>0.408163265306122</v>
      </c>
      <c r="Z96" s="106">
        <f t="shared" si="56"/>
        <v>5.59982993197279</v>
      </c>
      <c r="AA96" s="106">
        <f t="shared" si="57"/>
        <v>3.71020474035776</v>
      </c>
      <c r="AB96" s="106">
        <v>0</v>
      </c>
      <c r="AC96" s="106">
        <f t="shared" si="58"/>
        <v>0.137656192153732</v>
      </c>
      <c r="AD96" s="107">
        <f t="shared" si="59"/>
        <v>0.137656192153732</v>
      </c>
      <c r="AE96" s="105">
        <f t="shared" si="60"/>
        <v>3.92906746031746</v>
      </c>
      <c r="AF96" s="106">
        <f t="shared" si="61"/>
        <v>3.71020474035776</v>
      </c>
      <c r="AG96" s="106">
        <f t="shared" si="50"/>
        <v>0.089476524899926</v>
      </c>
      <c r="AH96" s="106">
        <f t="shared" si="51"/>
        <v>-0.141011691036896</v>
      </c>
      <c r="AI96" s="107">
        <f t="shared" si="62"/>
        <v>-0.0515351661369699</v>
      </c>
      <c r="AJ96" s="105">
        <f t="shared" si="63"/>
        <v>1.48333333333333</v>
      </c>
      <c r="AK96" s="106">
        <f t="shared" si="64"/>
        <v>2.88483635653116</v>
      </c>
      <c r="AL96" s="106">
        <f t="shared" si="65"/>
        <v>0.482083333333333</v>
      </c>
      <c r="AM96" s="106">
        <f t="shared" si="52"/>
        <v>0</v>
      </c>
      <c r="AN96" s="107">
        <f t="shared" si="66"/>
        <v>0.482083333333333</v>
      </c>
      <c r="AO96" s="105">
        <f t="shared" si="53"/>
        <v>0.137656192153732</v>
      </c>
      <c r="AP96" s="106">
        <f t="shared" si="54"/>
        <v>0.1512</v>
      </c>
      <c r="AQ96" s="107">
        <f t="shared" si="67"/>
        <v>0.0132</v>
      </c>
      <c r="AR96" s="105">
        <f t="shared" si="68"/>
        <v>0.732604359350096</v>
      </c>
      <c r="AS96" s="106">
        <f t="shared" si="69"/>
        <v>14.8333333333333</v>
      </c>
      <c r="AT96" s="107">
        <f t="shared" si="70"/>
        <v>95.2935417459981</v>
      </c>
    </row>
    <row r="97" spans="17:46">
      <c r="Q97">
        <v>90</v>
      </c>
      <c r="R97" s="105">
        <f t="shared" si="43"/>
        <v>10</v>
      </c>
      <c r="S97" s="106">
        <f t="shared" si="44"/>
        <v>1.5</v>
      </c>
      <c r="T97" s="106">
        <f t="shared" si="45"/>
        <v>4</v>
      </c>
      <c r="U97" s="107">
        <f t="shared" si="46"/>
        <v>3.75</v>
      </c>
      <c r="V97" s="105">
        <f t="shared" si="47"/>
        <v>2</v>
      </c>
      <c r="W97" s="106">
        <f t="shared" si="48"/>
        <v>0.714285714285714</v>
      </c>
      <c r="X97" s="107">
        <f t="shared" si="49"/>
        <v>0.285714285714286</v>
      </c>
      <c r="Y97" s="105">
        <f t="shared" si="55"/>
        <v>0.408163265306122</v>
      </c>
      <c r="Z97" s="106">
        <f t="shared" si="56"/>
        <v>5.65816326530612</v>
      </c>
      <c r="AA97" s="106">
        <f t="shared" si="57"/>
        <v>3.75185062392709</v>
      </c>
      <c r="AB97" s="106">
        <v>0</v>
      </c>
      <c r="AC97" s="106">
        <f t="shared" si="58"/>
        <v>0.140763831042621</v>
      </c>
      <c r="AD97" s="107">
        <f t="shared" si="59"/>
        <v>0.140763831042621</v>
      </c>
      <c r="AE97" s="105">
        <f t="shared" si="60"/>
        <v>4.01785714285714</v>
      </c>
      <c r="AF97" s="106">
        <f t="shared" si="61"/>
        <v>3.75185062392709</v>
      </c>
      <c r="AG97" s="106">
        <f t="shared" si="50"/>
        <v>0.0914964901777037</v>
      </c>
      <c r="AH97" s="106">
        <f t="shared" si="51"/>
        <v>-0.142596092059782</v>
      </c>
      <c r="AI97" s="107">
        <f t="shared" si="62"/>
        <v>-0.0510996018820786</v>
      </c>
      <c r="AJ97" s="105">
        <f t="shared" si="63"/>
        <v>1.5</v>
      </c>
      <c r="AK97" s="106">
        <f t="shared" si="64"/>
        <v>2.91600948263722</v>
      </c>
      <c r="AL97" s="106">
        <f t="shared" si="65"/>
        <v>0.4875</v>
      </c>
      <c r="AM97" s="106">
        <f t="shared" si="52"/>
        <v>0</v>
      </c>
      <c r="AN97" s="107">
        <f t="shared" si="66"/>
        <v>0.4875</v>
      </c>
      <c r="AO97" s="105">
        <f t="shared" si="53"/>
        <v>0.140763831042621</v>
      </c>
      <c r="AP97" s="106">
        <f t="shared" si="54"/>
        <v>0.1512</v>
      </c>
      <c r="AQ97" s="107">
        <f t="shared" si="67"/>
        <v>0.0132</v>
      </c>
      <c r="AR97" s="105">
        <f t="shared" si="68"/>
        <v>0.741564229160543</v>
      </c>
      <c r="AS97" s="106">
        <f t="shared" si="69"/>
        <v>15</v>
      </c>
      <c r="AT97" s="107">
        <f t="shared" si="70"/>
        <v>95.2891325260622</v>
      </c>
    </row>
    <row r="98" spans="17:46">
      <c r="Q98">
        <v>91</v>
      </c>
      <c r="R98" s="105">
        <f t="shared" si="43"/>
        <v>10</v>
      </c>
      <c r="S98" s="106">
        <f t="shared" si="44"/>
        <v>1.51666666666667</v>
      </c>
      <c r="T98" s="106">
        <f t="shared" si="45"/>
        <v>4</v>
      </c>
      <c r="U98" s="107">
        <f t="shared" si="46"/>
        <v>3.79166666666667</v>
      </c>
      <c r="V98" s="105">
        <f t="shared" si="47"/>
        <v>2</v>
      </c>
      <c r="W98" s="106">
        <f t="shared" si="48"/>
        <v>0.714285714285714</v>
      </c>
      <c r="X98" s="107">
        <f t="shared" si="49"/>
        <v>0.285714285714286</v>
      </c>
      <c r="Y98" s="105">
        <f t="shared" si="55"/>
        <v>0.408163265306122</v>
      </c>
      <c r="Z98" s="106">
        <f t="shared" si="56"/>
        <v>5.71649659863946</v>
      </c>
      <c r="AA98" s="106">
        <f t="shared" si="57"/>
        <v>3.79349696393357</v>
      </c>
      <c r="AB98" s="106">
        <v>0</v>
      </c>
      <c r="AC98" s="106">
        <f t="shared" si="58"/>
        <v>0.143906192153732</v>
      </c>
      <c r="AD98" s="107">
        <f t="shared" si="59"/>
        <v>0.143906192153732</v>
      </c>
      <c r="AE98" s="105">
        <f t="shared" si="60"/>
        <v>4.10763888888889</v>
      </c>
      <c r="AF98" s="106">
        <f t="shared" si="61"/>
        <v>3.79349696393357</v>
      </c>
      <c r="AG98" s="106">
        <f t="shared" si="50"/>
        <v>0.093539024899926</v>
      </c>
      <c r="AH98" s="106">
        <f t="shared" si="51"/>
        <v>-0.144180493082669</v>
      </c>
      <c r="AI98" s="107">
        <f t="shared" si="62"/>
        <v>-0.0506414681827428</v>
      </c>
      <c r="AJ98" s="105">
        <f t="shared" si="63"/>
        <v>1.51666666666667</v>
      </c>
      <c r="AK98" s="106">
        <f t="shared" si="64"/>
        <v>2.94718276429217</v>
      </c>
      <c r="AL98" s="106">
        <f t="shared" si="65"/>
        <v>0.492916666666667</v>
      </c>
      <c r="AM98" s="106">
        <f t="shared" si="52"/>
        <v>0</v>
      </c>
      <c r="AN98" s="107">
        <f t="shared" si="66"/>
        <v>0.492916666666667</v>
      </c>
      <c r="AO98" s="105">
        <f t="shared" si="53"/>
        <v>0.143906192153732</v>
      </c>
      <c r="AP98" s="106">
        <f t="shared" si="54"/>
        <v>0.1512</v>
      </c>
      <c r="AQ98" s="107">
        <f t="shared" si="67"/>
        <v>0.0132</v>
      </c>
      <c r="AR98" s="105">
        <f t="shared" si="68"/>
        <v>0.750581390637656</v>
      </c>
      <c r="AS98" s="106">
        <f t="shared" si="69"/>
        <v>15.1666666666667</v>
      </c>
      <c r="AT98" s="107">
        <f t="shared" si="70"/>
        <v>95.284477643777</v>
      </c>
    </row>
    <row r="99" spans="17:46">
      <c r="Q99">
        <v>92</v>
      </c>
      <c r="R99" s="105">
        <f t="shared" si="43"/>
        <v>10</v>
      </c>
      <c r="S99" s="106">
        <f t="shared" si="44"/>
        <v>1.53333333333333</v>
      </c>
      <c r="T99" s="106">
        <f t="shared" si="45"/>
        <v>4</v>
      </c>
      <c r="U99" s="107">
        <f t="shared" si="46"/>
        <v>3.83333333333333</v>
      </c>
      <c r="V99" s="105">
        <f t="shared" si="47"/>
        <v>2</v>
      </c>
      <c r="W99" s="106">
        <f t="shared" si="48"/>
        <v>0.714285714285714</v>
      </c>
      <c r="X99" s="107">
        <f t="shared" si="49"/>
        <v>0.285714285714286</v>
      </c>
      <c r="Y99" s="105">
        <f t="shared" si="55"/>
        <v>0.408163265306122</v>
      </c>
      <c r="Z99" s="106">
        <f t="shared" si="56"/>
        <v>5.77482993197279</v>
      </c>
      <c r="AA99" s="106">
        <f t="shared" si="57"/>
        <v>3.83514374550766</v>
      </c>
      <c r="AB99" s="106">
        <v>0</v>
      </c>
      <c r="AC99" s="106">
        <f t="shared" si="58"/>
        <v>0.147083275487066</v>
      </c>
      <c r="AD99" s="107">
        <f t="shared" si="59"/>
        <v>0.147083275487066</v>
      </c>
      <c r="AE99" s="105">
        <f t="shared" si="60"/>
        <v>4.1984126984127</v>
      </c>
      <c r="AF99" s="106">
        <f t="shared" si="61"/>
        <v>3.83514374550766</v>
      </c>
      <c r="AG99" s="106">
        <f t="shared" si="50"/>
        <v>0.0956041290665926</v>
      </c>
      <c r="AH99" s="106">
        <f t="shared" si="51"/>
        <v>-0.145764894105555</v>
      </c>
      <c r="AI99" s="107">
        <f t="shared" si="62"/>
        <v>-0.0501607650389626</v>
      </c>
      <c r="AJ99" s="105">
        <f t="shared" si="63"/>
        <v>1.53333333333333</v>
      </c>
      <c r="AK99" s="106">
        <f t="shared" si="64"/>
        <v>2.9783561966118</v>
      </c>
      <c r="AL99" s="106">
        <f t="shared" si="65"/>
        <v>0.498333333333333</v>
      </c>
      <c r="AM99" s="106">
        <f t="shared" si="52"/>
        <v>0</v>
      </c>
      <c r="AN99" s="107">
        <f t="shared" si="66"/>
        <v>0.498333333333333</v>
      </c>
      <c r="AO99" s="105">
        <f t="shared" si="53"/>
        <v>0.147083275487066</v>
      </c>
      <c r="AP99" s="106">
        <f t="shared" si="54"/>
        <v>0.1512</v>
      </c>
      <c r="AQ99" s="107">
        <f t="shared" si="67"/>
        <v>0.0132</v>
      </c>
      <c r="AR99" s="105">
        <f t="shared" si="68"/>
        <v>0.759655843781436</v>
      </c>
      <c r="AS99" s="106">
        <f t="shared" si="69"/>
        <v>15.3333333333333</v>
      </c>
      <c r="AT99" s="107">
        <f t="shared" si="70"/>
        <v>95.2795851943919</v>
      </c>
    </row>
    <row r="100" spans="17:46">
      <c r="Q100">
        <v>93</v>
      </c>
      <c r="R100" s="105">
        <f t="shared" si="43"/>
        <v>10</v>
      </c>
      <c r="S100" s="106">
        <f t="shared" si="44"/>
        <v>1.55</v>
      </c>
      <c r="T100" s="106">
        <f t="shared" si="45"/>
        <v>4</v>
      </c>
      <c r="U100" s="107">
        <f t="shared" si="46"/>
        <v>3.875</v>
      </c>
      <c r="V100" s="105">
        <f t="shared" si="47"/>
        <v>2</v>
      </c>
      <c r="W100" s="106">
        <f t="shared" si="48"/>
        <v>0.714285714285714</v>
      </c>
      <c r="X100" s="107">
        <f t="shared" si="49"/>
        <v>0.285714285714286</v>
      </c>
      <c r="Y100" s="105">
        <f t="shared" si="55"/>
        <v>0.408163265306122</v>
      </c>
      <c r="Z100" s="106">
        <f t="shared" si="56"/>
        <v>5.83316326530612</v>
      </c>
      <c r="AA100" s="106">
        <f t="shared" si="57"/>
        <v>3.87679095441863</v>
      </c>
      <c r="AB100" s="106">
        <v>0</v>
      </c>
      <c r="AC100" s="106">
        <f t="shared" si="58"/>
        <v>0.150295081042621</v>
      </c>
      <c r="AD100" s="107">
        <f t="shared" si="59"/>
        <v>0.150295081042621</v>
      </c>
      <c r="AE100" s="105">
        <f t="shared" si="60"/>
        <v>4.29017857142857</v>
      </c>
      <c r="AF100" s="106">
        <f t="shared" si="61"/>
        <v>3.87679095441863</v>
      </c>
      <c r="AG100" s="106">
        <f t="shared" si="50"/>
        <v>0.0976918026777037</v>
      </c>
      <c r="AH100" s="106">
        <f t="shared" si="51"/>
        <v>-0.147349295128442</v>
      </c>
      <c r="AI100" s="107">
        <f t="shared" si="62"/>
        <v>-0.049657492450738</v>
      </c>
      <c r="AJ100" s="105">
        <f t="shared" si="63"/>
        <v>1.55</v>
      </c>
      <c r="AK100" s="106">
        <f t="shared" si="64"/>
        <v>3.00952977491426</v>
      </c>
      <c r="AL100" s="106">
        <f t="shared" si="65"/>
        <v>0.50375</v>
      </c>
      <c r="AM100" s="106">
        <f t="shared" si="52"/>
        <v>0</v>
      </c>
      <c r="AN100" s="107">
        <f t="shared" si="66"/>
        <v>0.50375</v>
      </c>
      <c r="AO100" s="105">
        <f t="shared" si="53"/>
        <v>0.150295081042621</v>
      </c>
      <c r="AP100" s="106">
        <f t="shared" si="54"/>
        <v>0.1512</v>
      </c>
      <c r="AQ100" s="107">
        <f t="shared" si="67"/>
        <v>0.0132</v>
      </c>
      <c r="AR100" s="105">
        <f t="shared" si="68"/>
        <v>0.768787588591883</v>
      </c>
      <c r="AS100" s="106">
        <f t="shared" si="69"/>
        <v>15.5</v>
      </c>
      <c r="AT100" s="107">
        <f t="shared" si="70"/>
        <v>95.2744629284423</v>
      </c>
    </row>
    <row r="101" spans="17:46">
      <c r="Q101">
        <v>94</v>
      </c>
      <c r="R101" s="105">
        <f t="shared" si="43"/>
        <v>10</v>
      </c>
      <c r="S101" s="106">
        <f t="shared" si="44"/>
        <v>1.56666666666667</v>
      </c>
      <c r="T101" s="106">
        <f t="shared" si="45"/>
        <v>4</v>
      </c>
      <c r="U101" s="107">
        <f t="shared" si="46"/>
        <v>3.91666666666667</v>
      </c>
      <c r="V101" s="105">
        <f t="shared" si="47"/>
        <v>2</v>
      </c>
      <c r="W101" s="106">
        <f t="shared" si="48"/>
        <v>0.714285714285714</v>
      </c>
      <c r="X101" s="107">
        <f t="shared" si="49"/>
        <v>0.285714285714286</v>
      </c>
      <c r="Y101" s="105">
        <f t="shared" si="55"/>
        <v>0.408163265306122</v>
      </c>
      <c r="Z101" s="106">
        <f t="shared" si="56"/>
        <v>5.89149659863946</v>
      </c>
      <c r="AA101" s="106">
        <f t="shared" si="57"/>
        <v>3.91843857704059</v>
      </c>
      <c r="AB101" s="106">
        <v>0</v>
      </c>
      <c r="AC101" s="106">
        <f t="shared" si="58"/>
        <v>0.153541608820399</v>
      </c>
      <c r="AD101" s="107">
        <f t="shared" si="59"/>
        <v>0.153541608820399</v>
      </c>
      <c r="AE101" s="105">
        <f t="shared" si="60"/>
        <v>4.38293650793651</v>
      </c>
      <c r="AF101" s="106">
        <f t="shared" si="61"/>
        <v>3.91843857704059</v>
      </c>
      <c r="AG101" s="106">
        <f t="shared" si="50"/>
        <v>0.0998020457332593</v>
      </c>
      <c r="AH101" s="106">
        <f t="shared" si="51"/>
        <v>-0.148933696151328</v>
      </c>
      <c r="AI101" s="107">
        <f t="shared" si="62"/>
        <v>-0.0491316504180689</v>
      </c>
      <c r="AJ101" s="105">
        <f t="shared" si="63"/>
        <v>1.56666666666667</v>
      </c>
      <c r="AK101" s="106">
        <f t="shared" si="64"/>
        <v>3.04070349470965</v>
      </c>
      <c r="AL101" s="106">
        <f t="shared" si="65"/>
        <v>0.509166666666667</v>
      </c>
      <c r="AM101" s="106">
        <f t="shared" si="52"/>
        <v>0</v>
      </c>
      <c r="AN101" s="107">
        <f t="shared" si="66"/>
        <v>0.509166666666667</v>
      </c>
      <c r="AO101" s="105">
        <f t="shared" si="53"/>
        <v>0.153541608820399</v>
      </c>
      <c r="AP101" s="106">
        <f t="shared" si="54"/>
        <v>0.1512</v>
      </c>
      <c r="AQ101" s="107">
        <f t="shared" si="67"/>
        <v>0.0132</v>
      </c>
      <c r="AR101" s="105">
        <f t="shared" si="68"/>
        <v>0.777976625068997</v>
      </c>
      <c r="AS101" s="106">
        <f t="shared" si="69"/>
        <v>15.6666666666667</v>
      </c>
      <c r="AT101" s="107">
        <f t="shared" si="70"/>
        <v>95.269118269899</v>
      </c>
    </row>
    <row r="102" spans="17:46">
      <c r="Q102">
        <v>95</v>
      </c>
      <c r="R102" s="105">
        <f t="shared" si="43"/>
        <v>10</v>
      </c>
      <c r="S102" s="106">
        <f t="shared" si="44"/>
        <v>1.58333333333333</v>
      </c>
      <c r="T102" s="106">
        <f t="shared" si="45"/>
        <v>4</v>
      </c>
      <c r="U102" s="107">
        <f t="shared" si="46"/>
        <v>3.95833333333333</v>
      </c>
      <c r="V102" s="105">
        <f t="shared" si="47"/>
        <v>2</v>
      </c>
      <c r="W102" s="106">
        <f t="shared" si="48"/>
        <v>0.714285714285714</v>
      </c>
      <c r="X102" s="107">
        <f t="shared" si="49"/>
        <v>0.285714285714286</v>
      </c>
      <c r="Y102" s="105">
        <f t="shared" si="55"/>
        <v>0.408163265306122</v>
      </c>
      <c r="Z102" s="106">
        <f t="shared" si="56"/>
        <v>5.94982993197279</v>
      </c>
      <c r="AA102" s="106">
        <f t="shared" si="57"/>
        <v>3.96008660032074</v>
      </c>
      <c r="AB102" s="106">
        <v>0</v>
      </c>
      <c r="AC102" s="106">
        <f t="shared" si="58"/>
        <v>0.156822858820399</v>
      </c>
      <c r="AD102" s="107">
        <f t="shared" si="59"/>
        <v>0.156822858820399</v>
      </c>
      <c r="AE102" s="105">
        <f t="shared" si="60"/>
        <v>4.47668650793651</v>
      </c>
      <c r="AF102" s="106">
        <f t="shared" si="61"/>
        <v>3.96008660032074</v>
      </c>
      <c r="AG102" s="106">
        <f t="shared" si="50"/>
        <v>0.101934858233259</v>
      </c>
      <c r="AH102" s="106">
        <f t="shared" si="51"/>
        <v>-0.150518097174215</v>
      </c>
      <c r="AI102" s="107">
        <f t="shared" si="62"/>
        <v>-0.0485832389409554</v>
      </c>
      <c r="AJ102" s="105">
        <f t="shared" si="63"/>
        <v>1.58333333333333</v>
      </c>
      <c r="AK102" s="106">
        <f t="shared" si="64"/>
        <v>3.07187735169031</v>
      </c>
      <c r="AL102" s="106">
        <f t="shared" si="65"/>
        <v>0.514583333333333</v>
      </c>
      <c r="AM102" s="106">
        <f t="shared" si="52"/>
        <v>0</v>
      </c>
      <c r="AN102" s="107">
        <f t="shared" si="66"/>
        <v>0.514583333333333</v>
      </c>
      <c r="AO102" s="105">
        <f t="shared" si="53"/>
        <v>0.156822858820399</v>
      </c>
      <c r="AP102" s="106">
        <f t="shared" si="54"/>
        <v>0.1512</v>
      </c>
      <c r="AQ102" s="107">
        <f t="shared" si="67"/>
        <v>0.0132</v>
      </c>
      <c r="AR102" s="105">
        <f t="shared" si="68"/>
        <v>0.787222953212777</v>
      </c>
      <c r="AS102" s="106">
        <f t="shared" si="69"/>
        <v>15.8333333333333</v>
      </c>
      <c r="AT102" s="107">
        <f t="shared" si="70"/>
        <v>95.2635583331828</v>
      </c>
    </row>
    <row r="103" spans="17:46">
      <c r="Q103">
        <v>96</v>
      </c>
      <c r="R103" s="105">
        <f t="shared" si="43"/>
        <v>10</v>
      </c>
      <c r="S103" s="106">
        <f t="shared" ref="S103:S134" si="71">Q103*$O$12</f>
        <v>1.6</v>
      </c>
      <c r="T103" s="106">
        <f t="shared" si="45"/>
        <v>4</v>
      </c>
      <c r="U103" s="107">
        <f t="shared" ref="U103:U134" si="72">(R103*S103)/(T103*EFF_est)</f>
        <v>4</v>
      </c>
      <c r="V103" s="105">
        <f t="shared" ref="V103:V134" si="73">IF(S103&lt;((T103^2)*R103)/(2*Fsw*Lm*((T103+R103)^2)),1,2)</f>
        <v>2</v>
      </c>
      <c r="W103" s="106">
        <f t="shared" ref="W103:W134" si="74">CHOOSE(V103,SQRT(2*Lm*R103*S103*Fsw)/T103,R103/(T103+R103))</f>
        <v>0.714285714285714</v>
      </c>
      <c r="X103" s="107">
        <f t="shared" ref="X103:X134" si="75">CHOOSE(V103,(Lm*Z103*Fsw)/(R103),1-W103)</f>
        <v>0.285714285714286</v>
      </c>
      <c r="Y103" s="105">
        <f t="shared" si="55"/>
        <v>0.408163265306122</v>
      </c>
      <c r="Z103" s="106">
        <f t="shared" si="56"/>
        <v>6.00816326530612</v>
      </c>
      <c r="AA103" s="106">
        <f t="shared" si="57"/>
        <v>4.00173501174954</v>
      </c>
      <c r="AB103" s="106">
        <v>0</v>
      </c>
      <c r="AC103" s="106">
        <f t="shared" si="58"/>
        <v>0.160138831042621</v>
      </c>
      <c r="AD103" s="107">
        <f t="shared" si="59"/>
        <v>0.160138831042621</v>
      </c>
      <c r="AE103" s="105">
        <f t="shared" si="60"/>
        <v>4.57142857142857</v>
      </c>
      <c r="AF103" s="106">
        <f t="shared" si="61"/>
        <v>4.00173501174954</v>
      </c>
      <c r="AG103" s="106">
        <f t="shared" ref="AG103:AG134" si="76">(AF103^2)*RDS_on</f>
        <v>0.104090240177704</v>
      </c>
      <c r="AH103" s="106">
        <f t="shared" ref="AH103:AH134" si="77">(((R103+T103)*(U103+S103))/2)*Fsw*(tr_sw+tf_sw)</f>
        <v>-0.152102498197101</v>
      </c>
      <c r="AI103" s="107">
        <f t="shared" si="62"/>
        <v>-0.0480122580193974</v>
      </c>
      <c r="AJ103" s="105">
        <f t="shared" si="63"/>
        <v>1.6</v>
      </c>
      <c r="AK103" s="106">
        <f t="shared" si="64"/>
        <v>3.10305134172169</v>
      </c>
      <c r="AL103" s="106">
        <f t="shared" si="65"/>
        <v>0.52</v>
      </c>
      <c r="AM103" s="106">
        <f t="shared" ref="AM103:AM134" si="78">(R103+T103+Vd_rect)*Qrr*Fsw</f>
        <v>0</v>
      </c>
      <c r="AN103" s="107">
        <f t="shared" si="66"/>
        <v>0.52</v>
      </c>
      <c r="AO103" s="105">
        <f t="shared" ref="AO103:AO134" si="79">(AF103^2)*R_cs</f>
        <v>0.160138831042621</v>
      </c>
      <c r="AP103" s="106">
        <f t="shared" si="54"/>
        <v>0.1512</v>
      </c>
      <c r="AQ103" s="107">
        <f t="shared" si="67"/>
        <v>0.0132</v>
      </c>
      <c r="AR103" s="105">
        <f t="shared" si="68"/>
        <v>0.796526573023224</v>
      </c>
      <c r="AS103" s="106">
        <f t="shared" si="69"/>
        <v>16</v>
      </c>
      <c r="AT103" s="107">
        <f t="shared" si="70"/>
        <v>95.2577899391263</v>
      </c>
    </row>
    <row r="104" spans="17:46">
      <c r="Q104">
        <v>97</v>
      </c>
      <c r="R104" s="105">
        <f t="shared" si="43"/>
        <v>10</v>
      </c>
      <c r="S104" s="106">
        <f t="shared" si="71"/>
        <v>1.61666666666667</v>
      </c>
      <c r="T104" s="106">
        <f t="shared" si="45"/>
        <v>4</v>
      </c>
      <c r="U104" s="107">
        <f t="shared" si="72"/>
        <v>4.04166666666667</v>
      </c>
      <c r="V104" s="105">
        <f t="shared" si="73"/>
        <v>2</v>
      </c>
      <c r="W104" s="106">
        <f t="shared" si="74"/>
        <v>0.714285714285714</v>
      </c>
      <c r="X104" s="107">
        <f t="shared" si="75"/>
        <v>0.285714285714286</v>
      </c>
      <c r="Y104" s="105">
        <f t="shared" si="55"/>
        <v>0.408163265306122</v>
      </c>
      <c r="Z104" s="106">
        <f t="shared" si="56"/>
        <v>6.06649659863946</v>
      </c>
      <c r="AA104" s="106">
        <f t="shared" si="57"/>
        <v>4.04338379933275</v>
      </c>
      <c r="AB104" s="106">
        <v>0</v>
      </c>
      <c r="AC104" s="106">
        <f t="shared" si="58"/>
        <v>0.163489525487066</v>
      </c>
      <c r="AD104" s="107">
        <f t="shared" si="59"/>
        <v>0.163489525487066</v>
      </c>
      <c r="AE104" s="105">
        <f t="shared" si="60"/>
        <v>4.6671626984127</v>
      </c>
      <c r="AF104" s="106">
        <f t="shared" si="61"/>
        <v>4.04338379933275</v>
      </c>
      <c r="AG104" s="106">
        <f t="shared" si="76"/>
        <v>0.106268191566593</v>
      </c>
      <c r="AH104" s="106">
        <f t="shared" si="77"/>
        <v>-0.153686899219988</v>
      </c>
      <c r="AI104" s="107">
        <f t="shared" si="62"/>
        <v>-0.047418707653395</v>
      </c>
      <c r="AJ104" s="105">
        <f t="shared" si="63"/>
        <v>1.61666666666667</v>
      </c>
      <c r="AK104" s="106">
        <f t="shared" si="64"/>
        <v>3.13422546083368</v>
      </c>
      <c r="AL104" s="106">
        <f t="shared" si="65"/>
        <v>0.525416666666667</v>
      </c>
      <c r="AM104" s="106">
        <f t="shared" si="78"/>
        <v>0</v>
      </c>
      <c r="AN104" s="107">
        <f t="shared" si="66"/>
        <v>0.525416666666667</v>
      </c>
      <c r="AO104" s="105">
        <f t="shared" si="79"/>
        <v>0.163489525487066</v>
      </c>
      <c r="AP104" s="106">
        <f t="shared" si="54"/>
        <v>0.1512</v>
      </c>
      <c r="AQ104" s="107">
        <f t="shared" si="67"/>
        <v>0.0132</v>
      </c>
      <c r="AR104" s="105">
        <f t="shared" si="68"/>
        <v>0.805887484500337</v>
      </c>
      <c r="AS104" s="106">
        <f t="shared" si="69"/>
        <v>16.1666666666667</v>
      </c>
      <c r="AT104" s="107">
        <f t="shared" si="70"/>
        <v>95.2518196299587</v>
      </c>
    </row>
    <row r="105" spans="17:46">
      <c r="Q105">
        <v>98</v>
      </c>
      <c r="R105" s="105">
        <f t="shared" si="43"/>
        <v>10</v>
      </c>
      <c r="S105" s="106">
        <f t="shared" si="71"/>
        <v>1.63333333333333</v>
      </c>
      <c r="T105" s="106">
        <f t="shared" si="45"/>
        <v>4</v>
      </c>
      <c r="U105" s="107">
        <f t="shared" si="72"/>
        <v>4.08333333333333</v>
      </c>
      <c r="V105" s="105">
        <f t="shared" si="73"/>
        <v>2</v>
      </c>
      <c r="W105" s="106">
        <f t="shared" si="74"/>
        <v>0.714285714285714</v>
      </c>
      <c r="X105" s="107">
        <f t="shared" si="75"/>
        <v>0.285714285714286</v>
      </c>
      <c r="Y105" s="105">
        <f t="shared" si="55"/>
        <v>0.408163265306122</v>
      </c>
      <c r="Z105" s="106">
        <f t="shared" si="56"/>
        <v>6.12482993197279</v>
      </c>
      <c r="AA105" s="106">
        <f t="shared" si="57"/>
        <v>4.08503295156517</v>
      </c>
      <c r="AB105" s="106">
        <v>0</v>
      </c>
      <c r="AC105" s="106">
        <f t="shared" si="58"/>
        <v>0.166874942153732</v>
      </c>
      <c r="AD105" s="107">
        <f t="shared" si="59"/>
        <v>0.166874942153732</v>
      </c>
      <c r="AE105" s="105">
        <f t="shared" si="60"/>
        <v>4.76388888888889</v>
      </c>
      <c r="AF105" s="106">
        <f t="shared" si="61"/>
        <v>4.08503295156517</v>
      </c>
      <c r="AG105" s="106">
        <f t="shared" si="76"/>
        <v>0.108468712399926</v>
      </c>
      <c r="AH105" s="106">
        <f t="shared" si="77"/>
        <v>-0.155271300242874</v>
      </c>
      <c r="AI105" s="107">
        <f t="shared" si="62"/>
        <v>-0.0468025878429482</v>
      </c>
      <c r="AJ105" s="105">
        <f t="shared" si="63"/>
        <v>1.63333333333333</v>
      </c>
      <c r="AK105" s="106">
        <f t="shared" si="64"/>
        <v>3.16539970521258</v>
      </c>
      <c r="AL105" s="106">
        <f t="shared" si="65"/>
        <v>0.530833333333333</v>
      </c>
      <c r="AM105" s="106">
        <f t="shared" si="78"/>
        <v>0</v>
      </c>
      <c r="AN105" s="107">
        <f t="shared" si="66"/>
        <v>0.530833333333333</v>
      </c>
      <c r="AO105" s="105">
        <f t="shared" si="79"/>
        <v>0.166874942153732</v>
      </c>
      <c r="AP105" s="106">
        <f t="shared" si="54"/>
        <v>0.1512</v>
      </c>
      <c r="AQ105" s="107">
        <f t="shared" si="67"/>
        <v>0.0132</v>
      </c>
      <c r="AR105" s="105">
        <f t="shared" si="68"/>
        <v>0.815305687644117</v>
      </c>
      <c r="AS105" s="106">
        <f t="shared" si="69"/>
        <v>16.3333333333333</v>
      </c>
      <c r="AT105" s="107">
        <f t="shared" si="70"/>
        <v>95.2456536833811</v>
      </c>
    </row>
    <row r="106" spans="17:46">
      <c r="Q106">
        <v>99</v>
      </c>
      <c r="R106" s="105">
        <f t="shared" si="43"/>
        <v>10</v>
      </c>
      <c r="S106" s="106">
        <f t="shared" si="71"/>
        <v>1.65</v>
      </c>
      <c r="T106" s="106">
        <f t="shared" si="45"/>
        <v>4</v>
      </c>
      <c r="U106" s="107">
        <f t="shared" si="72"/>
        <v>4.125</v>
      </c>
      <c r="V106" s="105">
        <f t="shared" si="73"/>
        <v>2</v>
      </c>
      <c r="W106" s="106">
        <f t="shared" si="74"/>
        <v>0.714285714285714</v>
      </c>
      <c r="X106" s="107">
        <f t="shared" si="75"/>
        <v>0.285714285714286</v>
      </c>
      <c r="Y106" s="105">
        <f t="shared" si="55"/>
        <v>0.408163265306122</v>
      </c>
      <c r="Z106" s="106">
        <f t="shared" si="56"/>
        <v>6.18316326530612</v>
      </c>
      <c r="AA106" s="106">
        <f t="shared" si="57"/>
        <v>4.12668245740596</v>
      </c>
      <c r="AB106" s="106">
        <v>0</v>
      </c>
      <c r="AC106" s="106">
        <f t="shared" si="58"/>
        <v>0.170295081042621</v>
      </c>
      <c r="AD106" s="107">
        <f t="shared" si="59"/>
        <v>0.170295081042621</v>
      </c>
      <c r="AE106" s="105">
        <f t="shared" si="60"/>
        <v>4.86160714285714</v>
      </c>
      <c r="AF106" s="106">
        <f t="shared" si="61"/>
        <v>4.12668245740596</v>
      </c>
      <c r="AG106" s="106">
        <f t="shared" si="76"/>
        <v>0.110691802677704</v>
      </c>
      <c r="AH106" s="106">
        <f t="shared" si="77"/>
        <v>-0.156855701265761</v>
      </c>
      <c r="AI106" s="107">
        <f t="shared" si="62"/>
        <v>-0.0461638985880568</v>
      </c>
      <c r="AJ106" s="105">
        <f t="shared" si="63"/>
        <v>1.65</v>
      </c>
      <c r="AK106" s="106">
        <f t="shared" si="64"/>
        <v>3.19657407119342</v>
      </c>
      <c r="AL106" s="106">
        <f t="shared" si="65"/>
        <v>0.53625</v>
      </c>
      <c r="AM106" s="106">
        <f t="shared" si="78"/>
        <v>0</v>
      </c>
      <c r="AN106" s="107">
        <f t="shared" si="66"/>
        <v>0.53625</v>
      </c>
      <c r="AO106" s="105">
        <f t="shared" si="79"/>
        <v>0.170295081042621</v>
      </c>
      <c r="AP106" s="106">
        <f t="shared" si="54"/>
        <v>0.1512</v>
      </c>
      <c r="AQ106" s="107">
        <f t="shared" si="67"/>
        <v>0.0132</v>
      </c>
      <c r="AR106" s="105">
        <f t="shared" si="68"/>
        <v>0.824781182454564</v>
      </c>
      <c r="AS106" s="106">
        <f t="shared" si="69"/>
        <v>16.5</v>
      </c>
      <c r="AT106" s="107">
        <f t="shared" si="70"/>
        <v>95.2392981257977</v>
      </c>
    </row>
    <row r="107" spans="17:46">
      <c r="Q107">
        <v>100</v>
      </c>
      <c r="R107" s="105">
        <f t="shared" si="43"/>
        <v>10</v>
      </c>
      <c r="S107" s="106">
        <f t="shared" si="71"/>
        <v>1.66666666666667</v>
      </c>
      <c r="T107" s="106">
        <f t="shared" si="45"/>
        <v>4</v>
      </c>
      <c r="U107" s="107">
        <f t="shared" si="72"/>
        <v>4.16666666666667</v>
      </c>
      <c r="V107" s="105">
        <f t="shared" si="73"/>
        <v>2</v>
      </c>
      <c r="W107" s="106">
        <f t="shared" si="74"/>
        <v>0.714285714285714</v>
      </c>
      <c r="X107" s="107">
        <f t="shared" si="75"/>
        <v>0.285714285714286</v>
      </c>
      <c r="Y107" s="105">
        <f t="shared" si="55"/>
        <v>0.408163265306122</v>
      </c>
      <c r="Z107" s="106">
        <f t="shared" si="56"/>
        <v>6.24149659863946</v>
      </c>
      <c r="AA107" s="106">
        <f t="shared" si="57"/>
        <v>4.16833230625549</v>
      </c>
      <c r="AB107" s="106">
        <v>0</v>
      </c>
      <c r="AC107" s="106">
        <f t="shared" si="58"/>
        <v>0.173749942153732</v>
      </c>
      <c r="AD107" s="107">
        <f t="shared" si="59"/>
        <v>0.173749942153732</v>
      </c>
      <c r="AE107" s="105">
        <f t="shared" si="60"/>
        <v>4.96031746031746</v>
      </c>
      <c r="AF107" s="106">
        <f t="shared" si="61"/>
        <v>4.16833230625549</v>
      </c>
      <c r="AG107" s="106">
        <f t="shared" si="76"/>
        <v>0.112937462399926</v>
      </c>
      <c r="AH107" s="106">
        <f t="shared" si="77"/>
        <v>-0.158440102288647</v>
      </c>
      <c r="AI107" s="107">
        <f t="shared" si="62"/>
        <v>-0.0455026398887211</v>
      </c>
      <c r="AJ107" s="105">
        <f t="shared" si="63"/>
        <v>1.66666666666667</v>
      </c>
      <c r="AK107" s="106">
        <f t="shared" si="64"/>
        <v>3.22774855525283</v>
      </c>
      <c r="AL107" s="106">
        <f t="shared" si="65"/>
        <v>0.541666666666667</v>
      </c>
      <c r="AM107" s="106">
        <f t="shared" si="78"/>
        <v>0</v>
      </c>
      <c r="AN107" s="107">
        <f t="shared" si="66"/>
        <v>0.541666666666667</v>
      </c>
      <c r="AO107" s="105">
        <f t="shared" si="79"/>
        <v>0.173749942153732</v>
      </c>
      <c r="AP107" s="106">
        <f t="shared" si="54"/>
        <v>0.1512</v>
      </c>
      <c r="AQ107" s="107">
        <f t="shared" si="67"/>
        <v>0.0132</v>
      </c>
      <c r="AR107" s="105">
        <f t="shared" si="68"/>
        <v>0.834313968931678</v>
      </c>
      <c r="AS107" s="106">
        <f t="shared" si="69"/>
        <v>16.6666666666667</v>
      </c>
      <c r="AT107" s="107">
        <f t="shared" si="70"/>
        <v>95.2327587447607</v>
      </c>
    </row>
    <row r="108" spans="17:46">
      <c r="Q108">
        <v>101</v>
      </c>
      <c r="R108" s="105">
        <f t="shared" si="43"/>
        <v>10</v>
      </c>
      <c r="S108" s="106">
        <f t="shared" si="71"/>
        <v>1.68333333333333</v>
      </c>
      <c r="T108" s="106">
        <f t="shared" si="45"/>
        <v>4</v>
      </c>
      <c r="U108" s="107">
        <f t="shared" si="72"/>
        <v>4.20833333333333</v>
      </c>
      <c r="V108" s="105">
        <f t="shared" si="73"/>
        <v>2</v>
      </c>
      <c r="W108" s="106">
        <f t="shared" si="74"/>
        <v>0.714285714285714</v>
      </c>
      <c r="X108" s="107">
        <f t="shared" si="75"/>
        <v>0.285714285714286</v>
      </c>
      <c r="Y108" s="105">
        <f t="shared" si="55"/>
        <v>0.408163265306122</v>
      </c>
      <c r="Z108" s="106">
        <f t="shared" si="56"/>
        <v>6.29982993197279</v>
      </c>
      <c r="AA108" s="106">
        <f t="shared" si="57"/>
        <v>4.20998248793348</v>
      </c>
      <c r="AB108" s="106">
        <v>0</v>
      </c>
      <c r="AC108" s="106">
        <f t="shared" si="58"/>
        <v>0.177239525487066</v>
      </c>
      <c r="AD108" s="107">
        <f t="shared" si="59"/>
        <v>0.177239525487066</v>
      </c>
      <c r="AE108" s="105">
        <f t="shared" si="60"/>
        <v>5.06001984126984</v>
      </c>
      <c r="AF108" s="106">
        <f t="shared" si="61"/>
        <v>4.20998248793348</v>
      </c>
      <c r="AG108" s="106">
        <f t="shared" si="76"/>
        <v>0.115205691566593</v>
      </c>
      <c r="AH108" s="106">
        <f t="shared" si="77"/>
        <v>-0.160024503311534</v>
      </c>
      <c r="AI108" s="107">
        <f t="shared" si="62"/>
        <v>-0.0448188117449409</v>
      </c>
      <c r="AJ108" s="105">
        <f t="shared" si="63"/>
        <v>1.68333333333333</v>
      </c>
      <c r="AK108" s="106">
        <f t="shared" si="64"/>
        <v>3.25892315400223</v>
      </c>
      <c r="AL108" s="106">
        <f t="shared" si="65"/>
        <v>0.547083333333333</v>
      </c>
      <c r="AM108" s="106">
        <f t="shared" si="78"/>
        <v>0</v>
      </c>
      <c r="AN108" s="107">
        <f t="shared" si="66"/>
        <v>0.547083333333333</v>
      </c>
      <c r="AO108" s="105">
        <f t="shared" si="79"/>
        <v>0.177239525487066</v>
      </c>
      <c r="AP108" s="106">
        <f t="shared" si="54"/>
        <v>0.1512</v>
      </c>
      <c r="AQ108" s="107">
        <f t="shared" si="67"/>
        <v>0.0132</v>
      </c>
      <c r="AR108" s="105">
        <f t="shared" si="68"/>
        <v>0.843904047075458</v>
      </c>
      <c r="AS108" s="106">
        <f t="shared" si="69"/>
        <v>16.8333333333333</v>
      </c>
      <c r="AT108" s="107">
        <f t="shared" si="70"/>
        <v>95.2260411006828</v>
      </c>
    </row>
    <row r="109" spans="17:46">
      <c r="Q109">
        <v>102</v>
      </c>
      <c r="R109" s="105">
        <f t="shared" si="43"/>
        <v>10</v>
      </c>
      <c r="S109" s="106">
        <f t="shared" si="71"/>
        <v>1.7</v>
      </c>
      <c r="T109" s="106">
        <f t="shared" si="45"/>
        <v>4</v>
      </c>
      <c r="U109" s="107">
        <f t="shared" si="72"/>
        <v>4.25</v>
      </c>
      <c r="V109" s="105">
        <f t="shared" si="73"/>
        <v>2</v>
      </c>
      <c r="W109" s="106">
        <f t="shared" si="74"/>
        <v>0.714285714285714</v>
      </c>
      <c r="X109" s="107">
        <f t="shared" si="75"/>
        <v>0.285714285714286</v>
      </c>
      <c r="Y109" s="105">
        <f t="shared" si="55"/>
        <v>0.408163265306122</v>
      </c>
      <c r="Z109" s="106">
        <f t="shared" si="56"/>
        <v>6.35816326530612</v>
      </c>
      <c r="AA109" s="106">
        <f t="shared" si="57"/>
        <v>4.25163299265848</v>
      </c>
      <c r="AB109" s="106">
        <v>0</v>
      </c>
      <c r="AC109" s="106">
        <f t="shared" si="58"/>
        <v>0.180763831042621</v>
      </c>
      <c r="AD109" s="107">
        <f t="shared" si="59"/>
        <v>0.180763831042621</v>
      </c>
      <c r="AE109" s="105">
        <f t="shared" si="60"/>
        <v>5.16071428571429</v>
      </c>
      <c r="AF109" s="106">
        <f t="shared" si="61"/>
        <v>4.25163299265848</v>
      </c>
      <c r="AG109" s="106">
        <f t="shared" si="76"/>
        <v>0.117496490177704</v>
      </c>
      <c r="AH109" s="106">
        <f t="shared" si="77"/>
        <v>-0.16160890433442</v>
      </c>
      <c r="AI109" s="107">
        <f t="shared" si="62"/>
        <v>-0.0441124141567162</v>
      </c>
      <c r="AJ109" s="105">
        <f t="shared" si="63"/>
        <v>1.7</v>
      </c>
      <c r="AK109" s="106">
        <f t="shared" si="64"/>
        <v>3.29009786418146</v>
      </c>
      <c r="AL109" s="106">
        <f t="shared" si="65"/>
        <v>0.5525</v>
      </c>
      <c r="AM109" s="106">
        <f t="shared" si="78"/>
        <v>0</v>
      </c>
      <c r="AN109" s="107">
        <f t="shared" si="66"/>
        <v>0.5525</v>
      </c>
      <c r="AO109" s="105">
        <f t="shared" si="79"/>
        <v>0.180763831042621</v>
      </c>
      <c r="AP109" s="106">
        <f t="shared" si="54"/>
        <v>0.1512</v>
      </c>
      <c r="AQ109" s="107">
        <f t="shared" si="67"/>
        <v>0.0132</v>
      </c>
      <c r="AR109" s="105">
        <f t="shared" si="68"/>
        <v>0.853551416885905</v>
      </c>
      <c r="AS109" s="106">
        <f t="shared" si="69"/>
        <v>17</v>
      </c>
      <c r="AT109" s="107">
        <f t="shared" si="70"/>
        <v>95.2191505378666</v>
      </c>
    </row>
    <row r="110" spans="17:46">
      <c r="Q110">
        <v>103</v>
      </c>
      <c r="R110" s="105">
        <f t="shared" si="43"/>
        <v>10</v>
      </c>
      <c r="S110" s="106">
        <f t="shared" si="71"/>
        <v>1.71666666666667</v>
      </c>
      <c r="T110" s="106">
        <f t="shared" si="45"/>
        <v>4</v>
      </c>
      <c r="U110" s="107">
        <f t="shared" si="72"/>
        <v>4.29166666666667</v>
      </c>
      <c r="V110" s="105">
        <f t="shared" si="73"/>
        <v>2</v>
      </c>
      <c r="W110" s="106">
        <f t="shared" si="74"/>
        <v>0.714285714285714</v>
      </c>
      <c r="X110" s="107">
        <f t="shared" si="75"/>
        <v>0.285714285714286</v>
      </c>
      <c r="Y110" s="105">
        <f t="shared" si="55"/>
        <v>0.408163265306122</v>
      </c>
      <c r="Z110" s="106">
        <f t="shared" si="56"/>
        <v>6.41649659863945</v>
      </c>
      <c r="AA110" s="106">
        <f t="shared" si="57"/>
        <v>4.29328381102856</v>
      </c>
      <c r="AB110" s="106">
        <v>0</v>
      </c>
      <c r="AC110" s="106">
        <f t="shared" si="58"/>
        <v>0.184322858820399</v>
      </c>
      <c r="AD110" s="107">
        <f t="shared" si="59"/>
        <v>0.184322858820399</v>
      </c>
      <c r="AE110" s="105">
        <f t="shared" si="60"/>
        <v>5.26240079365079</v>
      </c>
      <c r="AF110" s="106">
        <f t="shared" si="61"/>
        <v>4.29328381102856</v>
      </c>
      <c r="AG110" s="106">
        <f t="shared" si="76"/>
        <v>0.119809858233259</v>
      </c>
      <c r="AH110" s="106">
        <f t="shared" si="77"/>
        <v>-0.163193305357306</v>
      </c>
      <c r="AI110" s="107">
        <f t="shared" si="62"/>
        <v>-0.0433834471240472</v>
      </c>
      <c r="AJ110" s="105">
        <f t="shared" si="63"/>
        <v>1.71666666666667</v>
      </c>
      <c r="AK110" s="106">
        <f t="shared" si="64"/>
        <v>3.32127268265275</v>
      </c>
      <c r="AL110" s="106">
        <f t="shared" si="65"/>
        <v>0.557916666666667</v>
      </c>
      <c r="AM110" s="106">
        <f t="shared" si="78"/>
        <v>0</v>
      </c>
      <c r="AN110" s="107">
        <f t="shared" si="66"/>
        <v>0.557916666666667</v>
      </c>
      <c r="AO110" s="105">
        <f t="shared" si="79"/>
        <v>0.184322858820399</v>
      </c>
      <c r="AP110" s="106">
        <f t="shared" si="54"/>
        <v>0.1512</v>
      </c>
      <c r="AQ110" s="107">
        <f t="shared" si="67"/>
        <v>0.0132</v>
      </c>
      <c r="AR110" s="105">
        <f t="shared" si="68"/>
        <v>0.863256078363018</v>
      </c>
      <c r="AS110" s="106">
        <f t="shared" si="69"/>
        <v>17.1666666666667</v>
      </c>
      <c r="AT110" s="107">
        <f t="shared" si="70"/>
        <v>95.2120921948987</v>
      </c>
    </row>
    <row r="111" spans="17:46">
      <c r="Q111">
        <v>104</v>
      </c>
      <c r="R111" s="105">
        <f t="shared" si="43"/>
        <v>10</v>
      </c>
      <c r="S111" s="106">
        <f t="shared" si="71"/>
        <v>1.73333333333333</v>
      </c>
      <c r="T111" s="106">
        <f t="shared" si="45"/>
        <v>4</v>
      </c>
      <c r="U111" s="107">
        <f t="shared" si="72"/>
        <v>4.33333333333333</v>
      </c>
      <c r="V111" s="105">
        <f t="shared" si="73"/>
        <v>2</v>
      </c>
      <c r="W111" s="106">
        <f t="shared" si="74"/>
        <v>0.714285714285714</v>
      </c>
      <c r="X111" s="107">
        <f t="shared" si="75"/>
        <v>0.285714285714286</v>
      </c>
      <c r="Y111" s="105">
        <f t="shared" si="55"/>
        <v>0.408163265306122</v>
      </c>
      <c r="Z111" s="106">
        <f t="shared" si="56"/>
        <v>6.47482993197279</v>
      </c>
      <c r="AA111" s="106">
        <f t="shared" si="57"/>
        <v>4.33493493400303</v>
      </c>
      <c r="AB111" s="106">
        <v>0</v>
      </c>
      <c r="AC111" s="106">
        <f t="shared" si="58"/>
        <v>0.187916608820399</v>
      </c>
      <c r="AD111" s="107">
        <f t="shared" si="59"/>
        <v>0.187916608820399</v>
      </c>
      <c r="AE111" s="105">
        <f t="shared" si="60"/>
        <v>5.36507936507937</v>
      </c>
      <c r="AF111" s="106">
        <f t="shared" si="61"/>
        <v>4.33493493400303</v>
      </c>
      <c r="AG111" s="106">
        <f t="shared" si="76"/>
        <v>0.122145795733259</v>
      </c>
      <c r="AH111" s="106">
        <f t="shared" si="77"/>
        <v>-0.164777706380193</v>
      </c>
      <c r="AI111" s="107">
        <f t="shared" si="62"/>
        <v>-0.0426319106469336</v>
      </c>
      <c r="AJ111" s="105">
        <f t="shared" si="63"/>
        <v>1.73333333333333</v>
      </c>
      <c r="AK111" s="106">
        <f t="shared" si="64"/>
        <v>3.35244760639504</v>
      </c>
      <c r="AL111" s="106">
        <f t="shared" si="65"/>
        <v>0.563333333333333</v>
      </c>
      <c r="AM111" s="106">
        <f t="shared" si="78"/>
        <v>0</v>
      </c>
      <c r="AN111" s="107">
        <f t="shared" si="66"/>
        <v>0.563333333333333</v>
      </c>
      <c r="AO111" s="105">
        <f t="shared" si="79"/>
        <v>0.187916608820399</v>
      </c>
      <c r="AP111" s="106">
        <f t="shared" si="54"/>
        <v>0.1512</v>
      </c>
      <c r="AQ111" s="107">
        <f t="shared" si="67"/>
        <v>0.0132</v>
      </c>
      <c r="AR111" s="105">
        <f t="shared" si="68"/>
        <v>0.873018031506799</v>
      </c>
      <c r="AS111" s="106">
        <f t="shared" si="69"/>
        <v>17.3333333333333</v>
      </c>
      <c r="AT111" s="107">
        <f t="shared" si="70"/>
        <v>95.2048710144485</v>
      </c>
    </row>
    <row r="112" spans="17:46">
      <c r="Q112">
        <v>105</v>
      </c>
      <c r="R112" s="105">
        <f t="shared" si="43"/>
        <v>10</v>
      </c>
      <c r="S112" s="106">
        <f t="shared" si="71"/>
        <v>1.75</v>
      </c>
      <c r="T112" s="106">
        <f t="shared" si="45"/>
        <v>4</v>
      </c>
      <c r="U112" s="107">
        <f t="shared" si="72"/>
        <v>4.375</v>
      </c>
      <c r="V112" s="105">
        <f t="shared" si="73"/>
        <v>2</v>
      </c>
      <c r="W112" s="106">
        <f t="shared" si="74"/>
        <v>0.714285714285714</v>
      </c>
      <c r="X112" s="107">
        <f t="shared" si="75"/>
        <v>0.285714285714286</v>
      </c>
      <c r="Y112" s="105">
        <f t="shared" si="55"/>
        <v>0.408163265306122</v>
      </c>
      <c r="Z112" s="106">
        <f t="shared" si="56"/>
        <v>6.53316326530612</v>
      </c>
      <c r="AA112" s="106">
        <f t="shared" si="57"/>
        <v>4.37658635288533</v>
      </c>
      <c r="AB112" s="106">
        <v>0</v>
      </c>
      <c r="AC112" s="106">
        <f t="shared" si="58"/>
        <v>0.191545081042621</v>
      </c>
      <c r="AD112" s="107">
        <f t="shared" si="59"/>
        <v>0.191545081042621</v>
      </c>
      <c r="AE112" s="105">
        <f t="shared" si="60"/>
        <v>5.46875</v>
      </c>
      <c r="AF112" s="106">
        <f t="shared" si="61"/>
        <v>4.37658635288533</v>
      </c>
      <c r="AG112" s="106">
        <f t="shared" si="76"/>
        <v>0.124504302677704</v>
      </c>
      <c r="AH112" s="106">
        <f t="shared" si="77"/>
        <v>-0.166362107403079</v>
      </c>
      <c r="AI112" s="107">
        <f t="shared" si="62"/>
        <v>-0.0418578047253757</v>
      </c>
      <c r="AJ112" s="105">
        <f t="shared" si="63"/>
        <v>1.75</v>
      </c>
      <c r="AK112" s="106">
        <f t="shared" si="64"/>
        <v>3.38362263249859</v>
      </c>
      <c r="AL112" s="106">
        <f t="shared" si="65"/>
        <v>0.56875</v>
      </c>
      <c r="AM112" s="106">
        <f t="shared" si="78"/>
        <v>0</v>
      </c>
      <c r="AN112" s="107">
        <f t="shared" si="66"/>
        <v>0.56875</v>
      </c>
      <c r="AO112" s="105">
        <f t="shared" si="79"/>
        <v>0.191545081042621</v>
      </c>
      <c r="AP112" s="106">
        <f t="shared" si="54"/>
        <v>0.1512</v>
      </c>
      <c r="AQ112" s="107">
        <f t="shared" si="67"/>
        <v>0.0132</v>
      </c>
      <c r="AR112" s="105">
        <f t="shared" si="68"/>
        <v>0.882837276317245</v>
      </c>
      <c r="AS112" s="106">
        <f t="shared" si="69"/>
        <v>17.5</v>
      </c>
      <c r="AT112" s="107">
        <f t="shared" si="70"/>
        <v>95.197491752513</v>
      </c>
    </row>
    <row r="113" spans="17:46">
      <c r="Q113">
        <v>106</v>
      </c>
      <c r="R113" s="105">
        <f t="shared" si="43"/>
        <v>10</v>
      </c>
      <c r="S113" s="106">
        <f t="shared" si="71"/>
        <v>1.76666666666667</v>
      </c>
      <c r="T113" s="106">
        <f t="shared" si="45"/>
        <v>4</v>
      </c>
      <c r="U113" s="107">
        <f t="shared" si="72"/>
        <v>4.41666666666667</v>
      </c>
      <c r="V113" s="105">
        <f t="shared" si="73"/>
        <v>2</v>
      </c>
      <c r="W113" s="106">
        <f t="shared" si="74"/>
        <v>0.714285714285714</v>
      </c>
      <c r="X113" s="107">
        <f t="shared" si="75"/>
        <v>0.285714285714286</v>
      </c>
      <c r="Y113" s="105">
        <f t="shared" si="55"/>
        <v>0.408163265306122</v>
      </c>
      <c r="Z113" s="106">
        <f t="shared" si="56"/>
        <v>6.59149659863945</v>
      </c>
      <c r="AA113" s="106">
        <f t="shared" si="57"/>
        <v>4.41823805930674</v>
      </c>
      <c r="AB113" s="106">
        <v>0</v>
      </c>
      <c r="AC113" s="106">
        <f t="shared" si="58"/>
        <v>0.195208275487066</v>
      </c>
      <c r="AD113" s="107">
        <f t="shared" si="59"/>
        <v>0.195208275487066</v>
      </c>
      <c r="AE113" s="105">
        <f t="shared" si="60"/>
        <v>5.5734126984127</v>
      </c>
      <c r="AF113" s="106">
        <f t="shared" si="61"/>
        <v>4.41823805930674</v>
      </c>
      <c r="AG113" s="106">
        <f t="shared" si="76"/>
        <v>0.126885379066593</v>
      </c>
      <c r="AH113" s="106">
        <f t="shared" si="77"/>
        <v>-0.167946508425966</v>
      </c>
      <c r="AI113" s="107">
        <f t="shared" si="62"/>
        <v>-0.0410611293593733</v>
      </c>
      <c r="AJ113" s="105">
        <f t="shared" si="63"/>
        <v>1.76666666666667</v>
      </c>
      <c r="AK113" s="106">
        <f t="shared" si="64"/>
        <v>3.41479775815992</v>
      </c>
      <c r="AL113" s="106">
        <f t="shared" si="65"/>
        <v>0.574166666666667</v>
      </c>
      <c r="AM113" s="106">
        <f t="shared" si="78"/>
        <v>0</v>
      </c>
      <c r="AN113" s="107">
        <f t="shared" si="66"/>
        <v>0.574166666666667</v>
      </c>
      <c r="AO113" s="105">
        <f t="shared" si="79"/>
        <v>0.195208275487066</v>
      </c>
      <c r="AP113" s="106">
        <f t="shared" si="54"/>
        <v>0.1512</v>
      </c>
      <c r="AQ113" s="107">
        <f t="shared" si="67"/>
        <v>0.0132</v>
      </c>
      <c r="AR113" s="105">
        <f t="shared" si="68"/>
        <v>0.892713812794359</v>
      </c>
      <c r="AS113" s="106">
        <f t="shared" si="69"/>
        <v>17.6666666666667</v>
      </c>
      <c r="AT113" s="107">
        <f t="shared" si="70"/>
        <v>95.1899589871424</v>
      </c>
    </row>
    <row r="114" spans="17:46">
      <c r="Q114">
        <v>107</v>
      </c>
      <c r="R114" s="105">
        <f t="shared" si="43"/>
        <v>10</v>
      </c>
      <c r="S114" s="106">
        <f t="shared" si="71"/>
        <v>1.78333333333333</v>
      </c>
      <c r="T114" s="106">
        <f t="shared" si="45"/>
        <v>4</v>
      </c>
      <c r="U114" s="107">
        <f t="shared" si="72"/>
        <v>4.45833333333333</v>
      </c>
      <c r="V114" s="105">
        <f t="shared" si="73"/>
        <v>2</v>
      </c>
      <c r="W114" s="106">
        <f t="shared" si="74"/>
        <v>0.714285714285714</v>
      </c>
      <c r="X114" s="107">
        <f t="shared" si="75"/>
        <v>0.285714285714286</v>
      </c>
      <c r="Y114" s="105">
        <f t="shared" si="55"/>
        <v>0.408163265306122</v>
      </c>
      <c r="Z114" s="106">
        <f t="shared" si="56"/>
        <v>6.64982993197279</v>
      </c>
      <c r="AA114" s="106">
        <f t="shared" si="57"/>
        <v>4.45989004521112</v>
      </c>
      <c r="AB114" s="106">
        <v>0</v>
      </c>
      <c r="AC114" s="106">
        <f t="shared" si="58"/>
        <v>0.198906192153732</v>
      </c>
      <c r="AD114" s="107">
        <f t="shared" si="59"/>
        <v>0.198906192153732</v>
      </c>
      <c r="AE114" s="105">
        <f t="shared" si="60"/>
        <v>5.67906746031746</v>
      </c>
      <c r="AF114" s="106">
        <f t="shared" si="61"/>
        <v>4.45989004521112</v>
      </c>
      <c r="AG114" s="106">
        <f t="shared" si="76"/>
        <v>0.129289024899926</v>
      </c>
      <c r="AH114" s="106">
        <f t="shared" si="77"/>
        <v>-0.169530909448852</v>
      </c>
      <c r="AI114" s="107">
        <f t="shared" si="62"/>
        <v>-0.0402418845489264</v>
      </c>
      <c r="AJ114" s="105">
        <f t="shared" si="63"/>
        <v>1.78333333333333</v>
      </c>
      <c r="AK114" s="106">
        <f t="shared" si="64"/>
        <v>3.44597298067698</v>
      </c>
      <c r="AL114" s="106">
        <f t="shared" si="65"/>
        <v>0.579583333333333</v>
      </c>
      <c r="AM114" s="106">
        <f t="shared" si="78"/>
        <v>0</v>
      </c>
      <c r="AN114" s="107">
        <f t="shared" si="66"/>
        <v>0.579583333333333</v>
      </c>
      <c r="AO114" s="105">
        <f t="shared" si="79"/>
        <v>0.198906192153732</v>
      </c>
      <c r="AP114" s="106">
        <f t="shared" si="54"/>
        <v>0.1512</v>
      </c>
      <c r="AQ114" s="107">
        <f t="shared" si="67"/>
        <v>0.0132</v>
      </c>
      <c r="AR114" s="105">
        <f t="shared" si="68"/>
        <v>0.902647640938139</v>
      </c>
      <c r="AS114" s="106">
        <f t="shared" si="69"/>
        <v>17.8333333333333</v>
      </c>
      <c r="AT114" s="107">
        <f t="shared" si="70"/>
        <v>95.1822771266812</v>
      </c>
    </row>
    <row r="115" spans="17:46">
      <c r="Q115">
        <v>108</v>
      </c>
      <c r="R115" s="105">
        <f t="shared" si="43"/>
        <v>10</v>
      </c>
      <c r="S115" s="106">
        <f t="shared" si="71"/>
        <v>1.8</v>
      </c>
      <c r="T115" s="106">
        <f t="shared" si="45"/>
        <v>4</v>
      </c>
      <c r="U115" s="107">
        <f t="shared" si="72"/>
        <v>4.5</v>
      </c>
      <c r="V115" s="105">
        <f t="shared" si="73"/>
        <v>2</v>
      </c>
      <c r="W115" s="106">
        <f t="shared" si="74"/>
        <v>0.714285714285714</v>
      </c>
      <c r="X115" s="107">
        <f t="shared" si="75"/>
        <v>0.285714285714286</v>
      </c>
      <c r="Y115" s="105">
        <f t="shared" si="55"/>
        <v>0.408163265306122</v>
      </c>
      <c r="Z115" s="106">
        <f t="shared" si="56"/>
        <v>6.70816326530612</v>
      </c>
      <c r="AA115" s="106">
        <f t="shared" si="57"/>
        <v>4.50154230284045</v>
      </c>
      <c r="AB115" s="106">
        <v>0</v>
      </c>
      <c r="AC115" s="106">
        <f t="shared" si="58"/>
        <v>0.202638831042621</v>
      </c>
      <c r="AD115" s="107">
        <f t="shared" si="59"/>
        <v>0.202638831042621</v>
      </c>
      <c r="AE115" s="105">
        <f t="shared" si="60"/>
        <v>5.78571428571429</v>
      </c>
      <c r="AF115" s="106">
        <f t="shared" si="61"/>
        <v>4.50154230284045</v>
      </c>
      <c r="AG115" s="106">
        <f t="shared" si="76"/>
        <v>0.131715240177704</v>
      </c>
      <c r="AH115" s="106">
        <f t="shared" si="77"/>
        <v>-0.171115310471739</v>
      </c>
      <c r="AI115" s="107">
        <f t="shared" si="62"/>
        <v>-0.0394000702940351</v>
      </c>
      <c r="AJ115" s="105">
        <f t="shared" si="63"/>
        <v>1.8</v>
      </c>
      <c r="AK115" s="106">
        <f t="shared" si="64"/>
        <v>3.47714829744462</v>
      </c>
      <c r="AL115" s="106">
        <f t="shared" si="65"/>
        <v>0.585</v>
      </c>
      <c r="AM115" s="106">
        <f t="shared" si="78"/>
        <v>0</v>
      </c>
      <c r="AN115" s="107">
        <f t="shared" si="66"/>
        <v>0.585</v>
      </c>
      <c r="AO115" s="105">
        <f t="shared" si="79"/>
        <v>0.202638831042621</v>
      </c>
      <c r="AP115" s="106">
        <f t="shared" si="54"/>
        <v>0.1512</v>
      </c>
      <c r="AQ115" s="107">
        <f t="shared" si="67"/>
        <v>0.0132</v>
      </c>
      <c r="AR115" s="105">
        <f t="shared" si="68"/>
        <v>0.912638760748586</v>
      </c>
      <c r="AS115" s="106">
        <f t="shared" si="69"/>
        <v>18</v>
      </c>
      <c r="AT115" s="107">
        <f t="shared" si="70"/>
        <v>95.1744504175552</v>
      </c>
    </row>
    <row r="116" spans="17:46">
      <c r="Q116">
        <v>109</v>
      </c>
      <c r="R116" s="105">
        <f t="shared" si="43"/>
        <v>10</v>
      </c>
      <c r="S116" s="106">
        <f t="shared" si="71"/>
        <v>1.81666666666667</v>
      </c>
      <c r="T116" s="106">
        <f t="shared" si="45"/>
        <v>4</v>
      </c>
      <c r="U116" s="107">
        <f t="shared" si="72"/>
        <v>4.54166666666667</v>
      </c>
      <c r="V116" s="105">
        <f t="shared" si="73"/>
        <v>2</v>
      </c>
      <c r="W116" s="106">
        <f t="shared" si="74"/>
        <v>0.714285714285714</v>
      </c>
      <c r="X116" s="107">
        <f t="shared" si="75"/>
        <v>0.285714285714286</v>
      </c>
      <c r="Y116" s="105">
        <f t="shared" si="55"/>
        <v>0.408163265306122</v>
      </c>
      <c r="Z116" s="106">
        <f t="shared" si="56"/>
        <v>6.76649659863946</v>
      </c>
      <c r="AA116" s="106">
        <f t="shared" si="57"/>
        <v>4.54319482472117</v>
      </c>
      <c r="AB116" s="106">
        <v>0</v>
      </c>
      <c r="AC116" s="106">
        <f t="shared" si="58"/>
        <v>0.206406192153732</v>
      </c>
      <c r="AD116" s="107">
        <f t="shared" si="59"/>
        <v>0.206406192153732</v>
      </c>
      <c r="AE116" s="105">
        <f t="shared" si="60"/>
        <v>5.89335317460317</v>
      </c>
      <c r="AF116" s="106">
        <f t="shared" si="61"/>
        <v>4.54319482472117</v>
      </c>
      <c r="AG116" s="106">
        <f t="shared" si="76"/>
        <v>0.134164024899926</v>
      </c>
      <c r="AH116" s="106">
        <f t="shared" si="77"/>
        <v>-0.172699711494625</v>
      </c>
      <c r="AI116" s="107">
        <f t="shared" si="62"/>
        <v>-0.0385356865946993</v>
      </c>
      <c r="AJ116" s="105">
        <f t="shared" si="63"/>
        <v>1.81666666666667</v>
      </c>
      <c r="AK116" s="106">
        <f t="shared" si="64"/>
        <v>3.50832370595027</v>
      </c>
      <c r="AL116" s="106">
        <f t="shared" si="65"/>
        <v>0.590416666666667</v>
      </c>
      <c r="AM116" s="106">
        <f t="shared" si="78"/>
        <v>0</v>
      </c>
      <c r="AN116" s="107">
        <f t="shared" si="66"/>
        <v>0.590416666666667</v>
      </c>
      <c r="AO116" s="105">
        <f t="shared" si="79"/>
        <v>0.206406192153732</v>
      </c>
      <c r="AP116" s="106">
        <f t="shared" si="54"/>
        <v>0.1512</v>
      </c>
      <c r="AQ116" s="107">
        <f t="shared" si="67"/>
        <v>0.0132</v>
      </c>
      <c r="AR116" s="105">
        <f t="shared" si="68"/>
        <v>0.9226871722257</v>
      </c>
      <c r="AS116" s="106">
        <f t="shared" si="69"/>
        <v>18.1666666666667</v>
      </c>
      <c r="AT116" s="107">
        <f t="shared" si="70"/>
        <v>95.1664829516344</v>
      </c>
    </row>
    <row r="117" spans="17:46">
      <c r="Q117">
        <v>110</v>
      </c>
      <c r="R117" s="105">
        <f t="shared" si="43"/>
        <v>10</v>
      </c>
      <c r="S117" s="106">
        <f t="shared" si="71"/>
        <v>1.83333333333333</v>
      </c>
      <c r="T117" s="106">
        <f t="shared" si="45"/>
        <v>4</v>
      </c>
      <c r="U117" s="107">
        <f t="shared" si="72"/>
        <v>4.58333333333333</v>
      </c>
      <c r="V117" s="105">
        <f t="shared" si="73"/>
        <v>2</v>
      </c>
      <c r="W117" s="106">
        <f t="shared" si="74"/>
        <v>0.714285714285714</v>
      </c>
      <c r="X117" s="107">
        <f t="shared" si="75"/>
        <v>0.285714285714286</v>
      </c>
      <c r="Y117" s="105">
        <f t="shared" si="55"/>
        <v>0.408163265306122</v>
      </c>
      <c r="Z117" s="106">
        <f t="shared" si="56"/>
        <v>6.82482993197279</v>
      </c>
      <c r="AA117" s="106">
        <f t="shared" si="57"/>
        <v>4.58484760365124</v>
      </c>
      <c r="AB117" s="106">
        <v>0</v>
      </c>
      <c r="AC117" s="106">
        <f t="shared" si="58"/>
        <v>0.210208275487066</v>
      </c>
      <c r="AD117" s="107">
        <f t="shared" si="59"/>
        <v>0.210208275487066</v>
      </c>
      <c r="AE117" s="105">
        <f t="shared" si="60"/>
        <v>6.00198412698413</v>
      </c>
      <c r="AF117" s="106">
        <f t="shared" si="61"/>
        <v>4.58484760365124</v>
      </c>
      <c r="AG117" s="106">
        <f t="shared" si="76"/>
        <v>0.136635379066593</v>
      </c>
      <c r="AH117" s="106">
        <f t="shared" si="77"/>
        <v>-0.174284112517512</v>
      </c>
      <c r="AI117" s="107">
        <f t="shared" si="62"/>
        <v>-0.0376487334509191</v>
      </c>
      <c r="AJ117" s="105">
        <f t="shared" si="63"/>
        <v>1.83333333333333</v>
      </c>
      <c r="AK117" s="106">
        <f t="shared" si="64"/>
        <v>3.5394992037699</v>
      </c>
      <c r="AL117" s="106">
        <f t="shared" si="65"/>
        <v>0.595833333333333</v>
      </c>
      <c r="AM117" s="106">
        <f t="shared" si="78"/>
        <v>0</v>
      </c>
      <c r="AN117" s="107">
        <f t="shared" si="66"/>
        <v>0.595833333333333</v>
      </c>
      <c r="AO117" s="105">
        <f t="shared" si="79"/>
        <v>0.210208275487066</v>
      </c>
      <c r="AP117" s="106">
        <f t="shared" si="54"/>
        <v>0.1512</v>
      </c>
      <c r="AQ117" s="107">
        <f t="shared" si="67"/>
        <v>0.0132</v>
      </c>
      <c r="AR117" s="105">
        <f t="shared" si="68"/>
        <v>0.93279287536948</v>
      </c>
      <c r="AS117" s="106">
        <f t="shared" si="69"/>
        <v>18.3333333333333</v>
      </c>
      <c r="AT117" s="107">
        <f t="shared" si="70"/>
        <v>95.1583786731963</v>
      </c>
    </row>
    <row r="118" spans="17:46">
      <c r="Q118">
        <v>111</v>
      </c>
      <c r="R118" s="105">
        <f t="shared" si="43"/>
        <v>10</v>
      </c>
      <c r="S118" s="106">
        <f t="shared" si="71"/>
        <v>1.85</v>
      </c>
      <c r="T118" s="106">
        <f t="shared" si="45"/>
        <v>4</v>
      </c>
      <c r="U118" s="107">
        <f t="shared" si="72"/>
        <v>4.625</v>
      </c>
      <c r="V118" s="105">
        <f t="shared" si="73"/>
        <v>2</v>
      </c>
      <c r="W118" s="106">
        <f t="shared" si="74"/>
        <v>0.714285714285714</v>
      </c>
      <c r="X118" s="107">
        <f t="shared" si="75"/>
        <v>0.285714285714286</v>
      </c>
      <c r="Y118" s="105">
        <f t="shared" si="55"/>
        <v>0.408163265306122</v>
      </c>
      <c r="Z118" s="106">
        <f t="shared" si="56"/>
        <v>6.88316326530612</v>
      </c>
      <c r="AA118" s="106">
        <f t="shared" si="57"/>
        <v>4.62650063268796</v>
      </c>
      <c r="AB118" s="106">
        <v>0</v>
      </c>
      <c r="AC118" s="106">
        <f t="shared" si="58"/>
        <v>0.214045081042621</v>
      </c>
      <c r="AD118" s="107">
        <f t="shared" si="59"/>
        <v>0.214045081042621</v>
      </c>
      <c r="AE118" s="105">
        <f t="shared" si="60"/>
        <v>6.11160714285714</v>
      </c>
      <c r="AF118" s="106">
        <f t="shared" si="61"/>
        <v>4.62650063268796</v>
      </c>
      <c r="AG118" s="106">
        <f t="shared" si="76"/>
        <v>0.139129302677704</v>
      </c>
      <c r="AH118" s="106">
        <f t="shared" si="77"/>
        <v>-0.175868513540398</v>
      </c>
      <c r="AI118" s="107">
        <f t="shared" si="62"/>
        <v>-0.0367392108626944</v>
      </c>
      <c r="AJ118" s="105">
        <f t="shared" si="63"/>
        <v>1.85</v>
      </c>
      <c r="AK118" s="106">
        <f t="shared" si="64"/>
        <v>3.5706747885641</v>
      </c>
      <c r="AL118" s="106">
        <f t="shared" si="65"/>
        <v>0.60125</v>
      </c>
      <c r="AM118" s="106">
        <f t="shared" si="78"/>
        <v>0</v>
      </c>
      <c r="AN118" s="107">
        <f t="shared" si="66"/>
        <v>0.60125</v>
      </c>
      <c r="AO118" s="105">
        <f t="shared" si="79"/>
        <v>0.214045081042621</v>
      </c>
      <c r="AP118" s="106">
        <f t="shared" si="54"/>
        <v>0.1512</v>
      </c>
      <c r="AQ118" s="107">
        <f t="shared" si="67"/>
        <v>0.0132</v>
      </c>
      <c r="AR118" s="105">
        <f t="shared" si="68"/>
        <v>0.942955870179927</v>
      </c>
      <c r="AS118" s="106">
        <f t="shared" si="69"/>
        <v>18.5</v>
      </c>
      <c r="AT118" s="107">
        <f t="shared" si="70"/>
        <v>95.1501413855176</v>
      </c>
    </row>
    <row r="119" spans="17:46">
      <c r="Q119">
        <v>112</v>
      </c>
      <c r="R119" s="105">
        <f t="shared" si="43"/>
        <v>10</v>
      </c>
      <c r="S119" s="106">
        <f t="shared" si="71"/>
        <v>1.86666666666667</v>
      </c>
      <c r="T119" s="106">
        <f t="shared" si="45"/>
        <v>4</v>
      </c>
      <c r="U119" s="107">
        <f t="shared" si="72"/>
        <v>4.66666666666667</v>
      </c>
      <c r="V119" s="105">
        <f t="shared" si="73"/>
        <v>2</v>
      </c>
      <c r="W119" s="106">
        <f t="shared" si="74"/>
        <v>0.714285714285714</v>
      </c>
      <c r="X119" s="107">
        <f t="shared" si="75"/>
        <v>0.285714285714286</v>
      </c>
      <c r="Y119" s="105">
        <f t="shared" si="55"/>
        <v>0.408163265306122</v>
      </c>
      <c r="Z119" s="106">
        <f t="shared" si="56"/>
        <v>6.94149659863946</v>
      </c>
      <c r="AA119" s="106">
        <f t="shared" si="57"/>
        <v>4.66815390513637</v>
      </c>
      <c r="AB119" s="106">
        <v>0</v>
      </c>
      <c r="AC119" s="106">
        <f t="shared" si="58"/>
        <v>0.217916608820399</v>
      </c>
      <c r="AD119" s="107">
        <f t="shared" si="59"/>
        <v>0.217916608820399</v>
      </c>
      <c r="AE119" s="105">
        <f t="shared" si="60"/>
        <v>6.22222222222222</v>
      </c>
      <c r="AF119" s="106">
        <f t="shared" si="61"/>
        <v>4.66815390513637</v>
      </c>
      <c r="AG119" s="106">
        <f t="shared" si="76"/>
        <v>0.141645795733259</v>
      </c>
      <c r="AH119" s="106">
        <f t="shared" si="77"/>
        <v>-0.177452914563285</v>
      </c>
      <c r="AI119" s="107">
        <f t="shared" si="62"/>
        <v>-0.0358071188300254</v>
      </c>
      <c r="AJ119" s="105">
        <f t="shared" si="63"/>
        <v>1.86666666666667</v>
      </c>
      <c r="AK119" s="106">
        <f t="shared" si="64"/>
        <v>3.60185045807447</v>
      </c>
      <c r="AL119" s="106">
        <f t="shared" si="65"/>
        <v>0.606666666666667</v>
      </c>
      <c r="AM119" s="106">
        <f t="shared" si="78"/>
        <v>0</v>
      </c>
      <c r="AN119" s="107">
        <f t="shared" si="66"/>
        <v>0.606666666666667</v>
      </c>
      <c r="AO119" s="105">
        <f t="shared" si="79"/>
        <v>0.217916608820399</v>
      </c>
      <c r="AP119" s="106">
        <f t="shared" si="54"/>
        <v>0.1512</v>
      </c>
      <c r="AQ119" s="107">
        <f t="shared" si="67"/>
        <v>0.0132</v>
      </c>
      <c r="AR119" s="105">
        <f t="shared" si="68"/>
        <v>0.95317615665704</v>
      </c>
      <c r="AS119" s="106">
        <f t="shared" si="69"/>
        <v>18.6666666666667</v>
      </c>
      <c r="AT119" s="107">
        <f t="shared" si="70"/>
        <v>95.1417747571152</v>
      </c>
    </row>
    <row r="120" spans="17:46">
      <c r="Q120">
        <v>113</v>
      </c>
      <c r="R120" s="105">
        <f t="shared" si="43"/>
        <v>10</v>
      </c>
      <c r="S120" s="106">
        <f t="shared" si="71"/>
        <v>1.88333333333333</v>
      </c>
      <c r="T120" s="106">
        <f t="shared" si="45"/>
        <v>4</v>
      </c>
      <c r="U120" s="107">
        <f t="shared" si="72"/>
        <v>4.70833333333333</v>
      </c>
      <c r="V120" s="105">
        <f t="shared" si="73"/>
        <v>2</v>
      </c>
      <c r="W120" s="106">
        <f t="shared" si="74"/>
        <v>0.714285714285714</v>
      </c>
      <c r="X120" s="107">
        <f t="shared" si="75"/>
        <v>0.285714285714286</v>
      </c>
      <c r="Y120" s="105">
        <f t="shared" si="55"/>
        <v>0.408163265306122</v>
      </c>
      <c r="Z120" s="106">
        <f t="shared" si="56"/>
        <v>6.99982993197279</v>
      </c>
      <c r="AA120" s="106">
        <f t="shared" si="57"/>
        <v>4.70980741453829</v>
      </c>
      <c r="AB120" s="106">
        <v>0</v>
      </c>
      <c r="AC120" s="106">
        <f t="shared" si="58"/>
        <v>0.221822858820399</v>
      </c>
      <c r="AD120" s="107">
        <f t="shared" si="59"/>
        <v>0.221822858820399</v>
      </c>
      <c r="AE120" s="105">
        <f t="shared" si="60"/>
        <v>6.33382936507936</v>
      </c>
      <c r="AF120" s="106">
        <f t="shared" si="61"/>
        <v>4.70980741453829</v>
      </c>
      <c r="AG120" s="106">
        <f t="shared" si="76"/>
        <v>0.144184858233259</v>
      </c>
      <c r="AH120" s="106">
        <f t="shared" si="77"/>
        <v>-0.179037315586171</v>
      </c>
      <c r="AI120" s="107">
        <f t="shared" si="62"/>
        <v>-0.0348524573529119</v>
      </c>
      <c r="AJ120" s="105">
        <f t="shared" si="63"/>
        <v>1.88333333333333</v>
      </c>
      <c r="AK120" s="106">
        <f t="shared" si="64"/>
        <v>3.63302621012012</v>
      </c>
      <c r="AL120" s="106">
        <f t="shared" si="65"/>
        <v>0.612083333333333</v>
      </c>
      <c r="AM120" s="106">
        <f t="shared" si="78"/>
        <v>0</v>
      </c>
      <c r="AN120" s="107">
        <f t="shared" si="66"/>
        <v>0.612083333333333</v>
      </c>
      <c r="AO120" s="105">
        <f t="shared" si="79"/>
        <v>0.221822858820399</v>
      </c>
      <c r="AP120" s="106">
        <f t="shared" si="54"/>
        <v>0.1512</v>
      </c>
      <c r="AQ120" s="107">
        <f t="shared" si="67"/>
        <v>0.0132</v>
      </c>
      <c r="AR120" s="105">
        <f t="shared" si="68"/>
        <v>0.96345373480082</v>
      </c>
      <c r="AS120" s="106">
        <f t="shared" si="69"/>
        <v>18.8333333333333</v>
      </c>
      <c r="AT120" s="107">
        <f t="shared" si="70"/>
        <v>95.1332823276579</v>
      </c>
    </row>
    <row r="121" spans="17:46">
      <c r="Q121">
        <v>114</v>
      </c>
      <c r="R121" s="105">
        <f t="shared" si="43"/>
        <v>10</v>
      </c>
      <c r="S121" s="106">
        <f t="shared" si="71"/>
        <v>1.9</v>
      </c>
      <c r="T121" s="106">
        <f t="shared" si="45"/>
        <v>4</v>
      </c>
      <c r="U121" s="107">
        <f t="shared" si="72"/>
        <v>4.75</v>
      </c>
      <c r="V121" s="105">
        <f t="shared" si="73"/>
        <v>2</v>
      </c>
      <c r="W121" s="106">
        <f t="shared" si="74"/>
        <v>0.714285714285714</v>
      </c>
      <c r="X121" s="107">
        <f t="shared" si="75"/>
        <v>0.285714285714286</v>
      </c>
      <c r="Y121" s="105">
        <f t="shared" si="55"/>
        <v>0.408163265306122</v>
      </c>
      <c r="Z121" s="106">
        <f t="shared" si="56"/>
        <v>7.05816326530612</v>
      </c>
      <c r="AA121" s="106">
        <f t="shared" si="57"/>
        <v>4.75146115466202</v>
      </c>
      <c r="AB121" s="106">
        <v>0</v>
      </c>
      <c r="AC121" s="106">
        <f t="shared" si="58"/>
        <v>0.225763831042621</v>
      </c>
      <c r="AD121" s="107">
        <f t="shared" si="59"/>
        <v>0.225763831042621</v>
      </c>
      <c r="AE121" s="105">
        <f t="shared" si="60"/>
        <v>6.44642857142857</v>
      </c>
      <c r="AF121" s="106">
        <f t="shared" si="61"/>
        <v>4.75146115466202</v>
      </c>
      <c r="AG121" s="106">
        <f t="shared" si="76"/>
        <v>0.146746490177704</v>
      </c>
      <c r="AH121" s="106">
        <f t="shared" si="77"/>
        <v>-0.180621716609058</v>
      </c>
      <c r="AI121" s="107">
        <f t="shared" si="62"/>
        <v>-0.0338752264313539</v>
      </c>
      <c r="AJ121" s="105">
        <f t="shared" si="63"/>
        <v>1.9</v>
      </c>
      <c r="AK121" s="106">
        <f t="shared" si="64"/>
        <v>3.66420204259435</v>
      </c>
      <c r="AL121" s="106">
        <f t="shared" si="65"/>
        <v>0.6175</v>
      </c>
      <c r="AM121" s="106">
        <f t="shared" si="78"/>
        <v>0</v>
      </c>
      <c r="AN121" s="107">
        <f t="shared" si="66"/>
        <v>0.6175</v>
      </c>
      <c r="AO121" s="105">
        <f t="shared" si="79"/>
        <v>0.225763831042621</v>
      </c>
      <c r="AP121" s="106">
        <f t="shared" si="54"/>
        <v>0.1512</v>
      </c>
      <c r="AQ121" s="107">
        <f t="shared" si="67"/>
        <v>0.0132</v>
      </c>
      <c r="AR121" s="105">
        <f t="shared" si="68"/>
        <v>0.973788604611267</v>
      </c>
      <c r="AS121" s="106">
        <f t="shared" si="69"/>
        <v>19</v>
      </c>
      <c r="AT121" s="107">
        <f t="shared" si="70"/>
        <v>95.124667513571</v>
      </c>
    </row>
    <row r="122" spans="17:46">
      <c r="Q122">
        <v>115</v>
      </c>
      <c r="R122" s="105">
        <f t="shared" si="43"/>
        <v>10</v>
      </c>
      <c r="S122" s="106">
        <f t="shared" si="71"/>
        <v>1.91666666666667</v>
      </c>
      <c r="T122" s="106">
        <f t="shared" si="45"/>
        <v>4</v>
      </c>
      <c r="U122" s="107">
        <f t="shared" si="72"/>
        <v>4.79166666666667</v>
      </c>
      <c r="V122" s="105">
        <f t="shared" si="73"/>
        <v>2</v>
      </c>
      <c r="W122" s="106">
        <f t="shared" si="74"/>
        <v>0.714285714285714</v>
      </c>
      <c r="X122" s="107">
        <f t="shared" si="75"/>
        <v>0.285714285714286</v>
      </c>
      <c r="Y122" s="105">
        <f t="shared" si="55"/>
        <v>0.408163265306122</v>
      </c>
      <c r="Z122" s="106">
        <f t="shared" si="56"/>
        <v>7.11649659863946</v>
      </c>
      <c r="AA122" s="106">
        <f t="shared" si="57"/>
        <v>4.79311511949239</v>
      </c>
      <c r="AB122" s="106">
        <v>0</v>
      </c>
      <c r="AC122" s="106">
        <f t="shared" si="58"/>
        <v>0.229739525487066</v>
      </c>
      <c r="AD122" s="107">
        <f t="shared" si="59"/>
        <v>0.229739525487066</v>
      </c>
      <c r="AE122" s="105">
        <f t="shared" si="60"/>
        <v>6.56001984126984</v>
      </c>
      <c r="AF122" s="106">
        <f t="shared" si="61"/>
        <v>4.79311511949239</v>
      </c>
      <c r="AG122" s="106">
        <f t="shared" si="76"/>
        <v>0.149330691566593</v>
      </c>
      <c r="AH122" s="106">
        <f t="shared" si="77"/>
        <v>-0.182206117631944</v>
      </c>
      <c r="AI122" s="107">
        <f t="shared" si="62"/>
        <v>-0.0328754260653515</v>
      </c>
      <c r="AJ122" s="105">
        <f t="shared" si="63"/>
        <v>1.91666666666667</v>
      </c>
      <c r="AK122" s="106">
        <f t="shared" si="64"/>
        <v>3.69537795346159</v>
      </c>
      <c r="AL122" s="106">
        <f t="shared" si="65"/>
        <v>0.622916666666667</v>
      </c>
      <c r="AM122" s="106">
        <f t="shared" si="78"/>
        <v>0</v>
      </c>
      <c r="AN122" s="107">
        <f t="shared" si="66"/>
        <v>0.622916666666667</v>
      </c>
      <c r="AO122" s="105">
        <f t="shared" si="79"/>
        <v>0.229739525487066</v>
      </c>
      <c r="AP122" s="106">
        <f t="shared" si="54"/>
        <v>0.1512</v>
      </c>
      <c r="AQ122" s="107">
        <f t="shared" si="67"/>
        <v>0.0132</v>
      </c>
      <c r="AR122" s="105">
        <f t="shared" si="68"/>
        <v>0.984180766088381</v>
      </c>
      <c r="AS122" s="106">
        <f t="shared" si="69"/>
        <v>19.1666666666667</v>
      </c>
      <c r="AT122" s="107">
        <f t="shared" si="70"/>
        <v>95.1159336133497</v>
      </c>
    </row>
    <row r="123" spans="17:46">
      <c r="Q123">
        <v>116</v>
      </c>
      <c r="R123" s="105">
        <f t="shared" si="43"/>
        <v>10</v>
      </c>
      <c r="S123" s="106">
        <f t="shared" si="71"/>
        <v>1.93333333333333</v>
      </c>
      <c r="T123" s="106">
        <f t="shared" si="45"/>
        <v>4</v>
      </c>
      <c r="U123" s="107">
        <f t="shared" si="72"/>
        <v>4.83333333333333</v>
      </c>
      <c r="V123" s="105">
        <f t="shared" si="73"/>
        <v>2</v>
      </c>
      <c r="W123" s="106">
        <f t="shared" si="74"/>
        <v>0.714285714285714</v>
      </c>
      <c r="X123" s="107">
        <f t="shared" si="75"/>
        <v>0.285714285714286</v>
      </c>
      <c r="Y123" s="105">
        <f t="shared" si="55"/>
        <v>0.408163265306122</v>
      </c>
      <c r="Z123" s="106">
        <f t="shared" si="56"/>
        <v>7.17482993197279</v>
      </c>
      <c r="AA123" s="106">
        <f t="shared" si="57"/>
        <v>4.83476930322153</v>
      </c>
      <c r="AB123" s="106">
        <v>0</v>
      </c>
      <c r="AC123" s="106">
        <f t="shared" si="58"/>
        <v>0.233749942153732</v>
      </c>
      <c r="AD123" s="107">
        <f t="shared" si="59"/>
        <v>0.233749942153732</v>
      </c>
      <c r="AE123" s="105">
        <f t="shared" si="60"/>
        <v>6.67460317460317</v>
      </c>
      <c r="AF123" s="106">
        <f t="shared" si="61"/>
        <v>4.83476930322153</v>
      </c>
      <c r="AG123" s="106">
        <f t="shared" si="76"/>
        <v>0.151937462399926</v>
      </c>
      <c r="AH123" s="106">
        <f t="shared" si="77"/>
        <v>-0.183790518654831</v>
      </c>
      <c r="AI123" s="107">
        <f t="shared" si="62"/>
        <v>-0.0318530562549047</v>
      </c>
      <c r="AJ123" s="105">
        <f t="shared" si="63"/>
        <v>1.93333333333333</v>
      </c>
      <c r="AK123" s="106">
        <f t="shared" si="64"/>
        <v>3.72655394075434</v>
      </c>
      <c r="AL123" s="106">
        <f t="shared" si="65"/>
        <v>0.628333333333333</v>
      </c>
      <c r="AM123" s="106">
        <f t="shared" si="78"/>
        <v>0</v>
      </c>
      <c r="AN123" s="107">
        <f t="shared" si="66"/>
        <v>0.628333333333333</v>
      </c>
      <c r="AO123" s="105">
        <f t="shared" si="79"/>
        <v>0.233749942153732</v>
      </c>
      <c r="AP123" s="106">
        <f t="shared" si="54"/>
        <v>0.1512</v>
      </c>
      <c r="AQ123" s="107">
        <f t="shared" si="67"/>
        <v>0.0132</v>
      </c>
      <c r="AR123" s="105">
        <f t="shared" si="68"/>
        <v>0.994630219232161</v>
      </c>
      <c r="AS123" s="106">
        <f t="shared" si="69"/>
        <v>19.3333333333333</v>
      </c>
      <c r="AT123" s="107">
        <f t="shared" si="70"/>
        <v>95.1070838126004</v>
      </c>
    </row>
    <row r="124" spans="17:46">
      <c r="Q124">
        <v>117</v>
      </c>
      <c r="R124" s="105">
        <f t="shared" si="43"/>
        <v>10</v>
      </c>
      <c r="S124" s="106">
        <f t="shared" si="71"/>
        <v>1.95</v>
      </c>
      <c r="T124" s="106">
        <f t="shared" si="45"/>
        <v>4</v>
      </c>
      <c r="U124" s="107">
        <f t="shared" si="72"/>
        <v>4.875</v>
      </c>
      <c r="V124" s="105">
        <f t="shared" si="73"/>
        <v>2</v>
      </c>
      <c r="W124" s="106">
        <f t="shared" si="74"/>
        <v>0.714285714285714</v>
      </c>
      <c r="X124" s="107">
        <f t="shared" si="75"/>
        <v>0.285714285714286</v>
      </c>
      <c r="Y124" s="105">
        <f t="shared" si="55"/>
        <v>0.408163265306122</v>
      </c>
      <c r="Z124" s="106">
        <f t="shared" si="56"/>
        <v>7.23316326530612</v>
      </c>
      <c r="AA124" s="106">
        <f t="shared" si="57"/>
        <v>4.87642370023997</v>
      </c>
      <c r="AB124" s="106">
        <v>0</v>
      </c>
      <c r="AC124" s="106">
        <f t="shared" si="58"/>
        <v>0.237795081042621</v>
      </c>
      <c r="AD124" s="107">
        <f t="shared" si="59"/>
        <v>0.237795081042621</v>
      </c>
      <c r="AE124" s="105">
        <f t="shared" si="60"/>
        <v>6.79017857142857</v>
      </c>
      <c r="AF124" s="106">
        <f t="shared" si="61"/>
        <v>4.87642370023997</v>
      </c>
      <c r="AG124" s="106">
        <f t="shared" si="76"/>
        <v>0.154566802677704</v>
      </c>
      <c r="AH124" s="106">
        <f t="shared" si="77"/>
        <v>-0.185374919677717</v>
      </c>
      <c r="AI124" s="107">
        <f t="shared" si="62"/>
        <v>-0.0308081170000133</v>
      </c>
      <c r="AJ124" s="105">
        <f t="shared" si="63"/>
        <v>1.95</v>
      </c>
      <c r="AK124" s="106">
        <f t="shared" si="64"/>
        <v>3.75773000257042</v>
      </c>
      <c r="AL124" s="106">
        <f t="shared" si="65"/>
        <v>0.63375</v>
      </c>
      <c r="AM124" s="106">
        <f t="shared" si="78"/>
        <v>0</v>
      </c>
      <c r="AN124" s="107">
        <f t="shared" si="66"/>
        <v>0.63375</v>
      </c>
      <c r="AO124" s="105">
        <f t="shared" si="79"/>
        <v>0.237795081042621</v>
      </c>
      <c r="AP124" s="106">
        <f t="shared" si="54"/>
        <v>0.1512</v>
      </c>
      <c r="AQ124" s="107">
        <f t="shared" si="67"/>
        <v>0.0132</v>
      </c>
      <c r="AR124" s="105">
        <f t="shared" si="68"/>
        <v>1.00513696404261</v>
      </c>
      <c r="AS124" s="106">
        <f t="shared" si="69"/>
        <v>19.5</v>
      </c>
      <c r="AT124" s="107">
        <f t="shared" si="70"/>
        <v>95.098121188826</v>
      </c>
    </row>
    <row r="125" spans="17:46">
      <c r="Q125">
        <v>118</v>
      </c>
      <c r="R125" s="105">
        <f t="shared" si="43"/>
        <v>10</v>
      </c>
      <c r="S125" s="106">
        <f t="shared" si="71"/>
        <v>1.96666666666667</v>
      </c>
      <c r="T125" s="106">
        <f t="shared" si="45"/>
        <v>4</v>
      </c>
      <c r="U125" s="107">
        <f t="shared" si="72"/>
        <v>4.91666666666667</v>
      </c>
      <c r="V125" s="105">
        <f t="shared" si="73"/>
        <v>2</v>
      </c>
      <c r="W125" s="106">
        <f t="shared" si="74"/>
        <v>0.714285714285714</v>
      </c>
      <c r="X125" s="107">
        <f t="shared" si="75"/>
        <v>0.285714285714286</v>
      </c>
      <c r="Y125" s="105">
        <f t="shared" si="55"/>
        <v>0.408163265306122</v>
      </c>
      <c r="Z125" s="106">
        <f t="shared" si="56"/>
        <v>7.29149659863945</v>
      </c>
      <c r="AA125" s="106">
        <f t="shared" si="57"/>
        <v>4.91807830512826</v>
      </c>
      <c r="AB125" s="106">
        <v>0</v>
      </c>
      <c r="AC125" s="106">
        <f t="shared" si="58"/>
        <v>0.241874942153732</v>
      </c>
      <c r="AD125" s="107">
        <f t="shared" si="59"/>
        <v>0.241874942153732</v>
      </c>
      <c r="AE125" s="105">
        <f t="shared" si="60"/>
        <v>6.90674603174603</v>
      </c>
      <c r="AF125" s="106">
        <f t="shared" si="61"/>
        <v>4.91807830512826</v>
      </c>
      <c r="AG125" s="106">
        <f t="shared" si="76"/>
        <v>0.157218712399926</v>
      </c>
      <c r="AH125" s="106">
        <f t="shared" si="77"/>
        <v>-0.186959320700604</v>
      </c>
      <c r="AI125" s="107">
        <f t="shared" si="62"/>
        <v>-0.0297406083006776</v>
      </c>
      <c r="AJ125" s="105">
        <f t="shared" si="63"/>
        <v>1.96666666666667</v>
      </c>
      <c r="AK125" s="106">
        <f t="shared" si="64"/>
        <v>3.78890613707025</v>
      </c>
      <c r="AL125" s="106">
        <f t="shared" si="65"/>
        <v>0.639166666666667</v>
      </c>
      <c r="AM125" s="106">
        <f t="shared" si="78"/>
        <v>0</v>
      </c>
      <c r="AN125" s="107">
        <f t="shared" si="66"/>
        <v>0.639166666666667</v>
      </c>
      <c r="AO125" s="105">
        <f t="shared" si="79"/>
        <v>0.241874942153732</v>
      </c>
      <c r="AP125" s="106">
        <f t="shared" si="54"/>
        <v>0.1512</v>
      </c>
      <c r="AQ125" s="107">
        <f t="shared" si="67"/>
        <v>0.0132</v>
      </c>
      <c r="AR125" s="105">
        <f t="shared" si="68"/>
        <v>1.01570100051972</v>
      </c>
      <c r="AS125" s="106">
        <f t="shared" si="69"/>
        <v>19.6666666666667</v>
      </c>
      <c r="AT125" s="107">
        <f t="shared" si="70"/>
        <v>95.0890487159689</v>
      </c>
    </row>
    <row r="126" spans="17:46">
      <c r="Q126">
        <v>119</v>
      </c>
      <c r="R126" s="105">
        <f t="shared" si="43"/>
        <v>10</v>
      </c>
      <c r="S126" s="106">
        <f t="shared" si="71"/>
        <v>1.98333333333333</v>
      </c>
      <c r="T126" s="106">
        <f t="shared" si="45"/>
        <v>4</v>
      </c>
      <c r="U126" s="107">
        <f t="shared" si="72"/>
        <v>4.95833333333333</v>
      </c>
      <c r="V126" s="105">
        <f t="shared" si="73"/>
        <v>2</v>
      </c>
      <c r="W126" s="106">
        <f t="shared" si="74"/>
        <v>0.714285714285714</v>
      </c>
      <c r="X126" s="107">
        <f t="shared" si="75"/>
        <v>0.285714285714286</v>
      </c>
      <c r="Y126" s="105">
        <f t="shared" si="55"/>
        <v>0.408163265306122</v>
      </c>
      <c r="Z126" s="106">
        <f t="shared" si="56"/>
        <v>7.34982993197279</v>
      </c>
      <c r="AA126" s="106">
        <f t="shared" si="57"/>
        <v>4.95973311264896</v>
      </c>
      <c r="AB126" s="106">
        <v>0</v>
      </c>
      <c r="AC126" s="106">
        <f t="shared" si="58"/>
        <v>0.245989525487066</v>
      </c>
      <c r="AD126" s="107">
        <f t="shared" si="59"/>
        <v>0.245989525487066</v>
      </c>
      <c r="AE126" s="105">
        <f t="shared" si="60"/>
        <v>7.02430555555556</v>
      </c>
      <c r="AF126" s="106">
        <f t="shared" si="61"/>
        <v>4.95973311264896</v>
      </c>
      <c r="AG126" s="106">
        <f t="shared" si="76"/>
        <v>0.159893191566593</v>
      </c>
      <c r="AH126" s="106">
        <f t="shared" si="77"/>
        <v>-0.18854372172349</v>
      </c>
      <c r="AI126" s="107">
        <f t="shared" si="62"/>
        <v>-0.0286505301568973</v>
      </c>
      <c r="AJ126" s="105">
        <f t="shared" si="63"/>
        <v>1.98333333333333</v>
      </c>
      <c r="AK126" s="106">
        <f t="shared" si="64"/>
        <v>3.82008234247427</v>
      </c>
      <c r="AL126" s="106">
        <f t="shared" si="65"/>
        <v>0.644583333333333</v>
      </c>
      <c r="AM126" s="106">
        <f t="shared" si="78"/>
        <v>0</v>
      </c>
      <c r="AN126" s="107">
        <f t="shared" si="66"/>
        <v>0.644583333333333</v>
      </c>
      <c r="AO126" s="105">
        <f t="shared" si="79"/>
        <v>0.245989525487066</v>
      </c>
      <c r="AP126" s="106">
        <f t="shared" si="54"/>
        <v>0.1512</v>
      </c>
      <c r="AQ126" s="107">
        <f t="shared" si="67"/>
        <v>0.0132</v>
      </c>
      <c r="AR126" s="105">
        <f t="shared" si="68"/>
        <v>1.0263223286635</v>
      </c>
      <c r="AS126" s="106">
        <f t="shared" si="69"/>
        <v>19.8333333333333</v>
      </c>
      <c r="AT126" s="107">
        <f t="shared" si="70"/>
        <v>95.0798692687276</v>
      </c>
    </row>
    <row r="127" spans="17:46">
      <c r="Q127">
        <v>120</v>
      </c>
      <c r="R127" s="105">
        <f t="shared" si="43"/>
        <v>10</v>
      </c>
      <c r="S127" s="106">
        <f t="shared" si="71"/>
        <v>2</v>
      </c>
      <c r="T127" s="106">
        <f t="shared" si="45"/>
        <v>4</v>
      </c>
      <c r="U127" s="107">
        <f t="shared" si="72"/>
        <v>5</v>
      </c>
      <c r="V127" s="105">
        <f t="shared" si="73"/>
        <v>2</v>
      </c>
      <c r="W127" s="106">
        <f t="shared" si="74"/>
        <v>0.714285714285714</v>
      </c>
      <c r="X127" s="107">
        <f t="shared" si="75"/>
        <v>0.285714285714286</v>
      </c>
      <c r="Y127" s="105">
        <f t="shared" si="55"/>
        <v>0.408163265306122</v>
      </c>
      <c r="Z127" s="106">
        <f t="shared" si="56"/>
        <v>7.40816326530612</v>
      </c>
      <c r="AA127" s="106">
        <f t="shared" si="57"/>
        <v>5.00138811773913</v>
      </c>
      <c r="AB127" s="106">
        <v>0</v>
      </c>
      <c r="AC127" s="106">
        <f t="shared" si="58"/>
        <v>0.250138831042621</v>
      </c>
      <c r="AD127" s="107">
        <f t="shared" si="59"/>
        <v>0.250138831042621</v>
      </c>
      <c r="AE127" s="105">
        <f t="shared" si="60"/>
        <v>7.14285714285714</v>
      </c>
      <c r="AF127" s="106">
        <f t="shared" si="61"/>
        <v>5.00138811773913</v>
      </c>
      <c r="AG127" s="106">
        <f t="shared" si="76"/>
        <v>0.162590240177704</v>
      </c>
      <c r="AH127" s="106">
        <f t="shared" si="77"/>
        <v>-0.190128122746376</v>
      </c>
      <c r="AI127" s="107">
        <f t="shared" si="62"/>
        <v>-0.0275378825686727</v>
      </c>
      <c r="AJ127" s="105">
        <f t="shared" si="63"/>
        <v>2</v>
      </c>
      <c r="AK127" s="106">
        <f t="shared" si="64"/>
        <v>3.85125861706056</v>
      </c>
      <c r="AL127" s="106">
        <f t="shared" si="65"/>
        <v>0.65</v>
      </c>
      <c r="AM127" s="106">
        <f t="shared" si="78"/>
        <v>0</v>
      </c>
      <c r="AN127" s="107">
        <f t="shared" si="66"/>
        <v>0.65</v>
      </c>
      <c r="AO127" s="105">
        <f t="shared" si="79"/>
        <v>0.250138831042621</v>
      </c>
      <c r="AP127" s="106">
        <f t="shared" si="54"/>
        <v>0.1512</v>
      </c>
      <c r="AQ127" s="107">
        <f t="shared" si="67"/>
        <v>0.0132</v>
      </c>
      <c r="AR127" s="105">
        <f t="shared" si="68"/>
        <v>1.03700094847395</v>
      </c>
      <c r="AS127" s="106">
        <f t="shared" si="69"/>
        <v>20</v>
      </c>
      <c r="AT127" s="107">
        <f t="shared" si="70"/>
        <v>95.070585626659</v>
      </c>
    </row>
    <row r="128" spans="17:46">
      <c r="Q128">
        <v>121</v>
      </c>
      <c r="R128" s="105">
        <f t="shared" si="43"/>
        <v>10</v>
      </c>
      <c r="S128" s="106">
        <f t="shared" si="71"/>
        <v>2.01666666666667</v>
      </c>
      <c r="T128" s="106">
        <f t="shared" si="45"/>
        <v>4</v>
      </c>
      <c r="U128" s="107">
        <f t="shared" si="72"/>
        <v>5.04166666666667</v>
      </c>
      <c r="V128" s="105">
        <f t="shared" si="73"/>
        <v>2</v>
      </c>
      <c r="W128" s="106">
        <f t="shared" si="74"/>
        <v>0.714285714285714</v>
      </c>
      <c r="X128" s="107">
        <f t="shared" si="75"/>
        <v>0.285714285714286</v>
      </c>
      <c r="Y128" s="105">
        <f t="shared" si="55"/>
        <v>0.408163265306122</v>
      </c>
      <c r="Z128" s="106">
        <f t="shared" si="56"/>
        <v>7.46649659863945</v>
      </c>
      <c r="AA128" s="106">
        <f t="shared" si="57"/>
        <v>5.04304331550304</v>
      </c>
      <c r="AB128" s="106">
        <v>0</v>
      </c>
      <c r="AC128" s="106">
        <f t="shared" si="58"/>
        <v>0.254322858820399</v>
      </c>
      <c r="AD128" s="107">
        <f t="shared" si="59"/>
        <v>0.254322858820399</v>
      </c>
      <c r="AE128" s="105">
        <f t="shared" si="60"/>
        <v>7.26240079365079</v>
      </c>
      <c r="AF128" s="106">
        <f t="shared" si="61"/>
        <v>5.04304331550304</v>
      </c>
      <c r="AG128" s="106">
        <f t="shared" si="76"/>
        <v>0.165309858233259</v>
      </c>
      <c r="AH128" s="106">
        <f t="shared" si="77"/>
        <v>-0.191712523769263</v>
      </c>
      <c r="AI128" s="107">
        <f t="shared" si="62"/>
        <v>-0.0264026655360036</v>
      </c>
      <c r="AJ128" s="105">
        <f t="shared" si="63"/>
        <v>2.01666666666667</v>
      </c>
      <c r="AK128" s="106">
        <f t="shared" si="64"/>
        <v>3.88243495916251</v>
      </c>
      <c r="AL128" s="106">
        <f t="shared" si="65"/>
        <v>0.655416666666667</v>
      </c>
      <c r="AM128" s="106">
        <f t="shared" si="78"/>
        <v>0</v>
      </c>
      <c r="AN128" s="107">
        <f t="shared" si="66"/>
        <v>0.655416666666667</v>
      </c>
      <c r="AO128" s="105">
        <f t="shared" si="79"/>
        <v>0.254322858820399</v>
      </c>
      <c r="AP128" s="106">
        <f t="shared" si="54"/>
        <v>0.1512</v>
      </c>
      <c r="AQ128" s="107">
        <f t="shared" si="67"/>
        <v>0.0132</v>
      </c>
      <c r="AR128" s="105">
        <f t="shared" si="68"/>
        <v>1.04773685995106</v>
      </c>
      <c r="AS128" s="106">
        <f t="shared" si="69"/>
        <v>20.1666666666667</v>
      </c>
      <c r="AT128" s="107">
        <f t="shared" si="70"/>
        <v>95.0612004780787</v>
      </c>
    </row>
    <row r="129" spans="17:46">
      <c r="Q129">
        <v>122</v>
      </c>
      <c r="R129" s="105">
        <f t="shared" si="43"/>
        <v>10</v>
      </c>
      <c r="S129" s="106">
        <f t="shared" si="71"/>
        <v>2.03333333333333</v>
      </c>
      <c r="T129" s="106">
        <f t="shared" si="45"/>
        <v>4</v>
      </c>
      <c r="U129" s="107">
        <f t="shared" si="72"/>
        <v>5.08333333333333</v>
      </c>
      <c r="V129" s="105">
        <f t="shared" si="73"/>
        <v>2</v>
      </c>
      <c r="W129" s="106">
        <f t="shared" si="74"/>
        <v>0.714285714285714</v>
      </c>
      <c r="X129" s="107">
        <f t="shared" si="75"/>
        <v>0.285714285714286</v>
      </c>
      <c r="Y129" s="105">
        <f t="shared" si="55"/>
        <v>0.408163265306122</v>
      </c>
      <c r="Z129" s="106">
        <f t="shared" si="56"/>
        <v>7.52482993197279</v>
      </c>
      <c r="AA129" s="106">
        <f t="shared" si="57"/>
        <v>5.0846987012054</v>
      </c>
      <c r="AB129" s="106">
        <v>0</v>
      </c>
      <c r="AC129" s="106">
        <f t="shared" si="58"/>
        <v>0.258541608820399</v>
      </c>
      <c r="AD129" s="107">
        <f t="shared" si="59"/>
        <v>0.258541608820399</v>
      </c>
      <c r="AE129" s="105">
        <f t="shared" si="60"/>
        <v>7.38293650793651</v>
      </c>
      <c r="AF129" s="106">
        <f t="shared" si="61"/>
        <v>5.0846987012054</v>
      </c>
      <c r="AG129" s="106">
        <f t="shared" si="76"/>
        <v>0.168052045733259</v>
      </c>
      <c r="AH129" s="106">
        <f t="shared" si="77"/>
        <v>-0.193296924792149</v>
      </c>
      <c r="AI129" s="107">
        <f t="shared" si="62"/>
        <v>-0.0252448790588901</v>
      </c>
      <c r="AJ129" s="105">
        <f t="shared" si="63"/>
        <v>2.03333333333333</v>
      </c>
      <c r="AK129" s="106">
        <f t="shared" si="64"/>
        <v>3.9136113671666</v>
      </c>
      <c r="AL129" s="106">
        <f t="shared" si="65"/>
        <v>0.660833333333333</v>
      </c>
      <c r="AM129" s="106">
        <f t="shared" si="78"/>
        <v>0</v>
      </c>
      <c r="AN129" s="107">
        <f t="shared" si="66"/>
        <v>0.660833333333333</v>
      </c>
      <c r="AO129" s="105">
        <f t="shared" si="79"/>
        <v>0.258541608820399</v>
      </c>
      <c r="AP129" s="106">
        <f t="shared" si="54"/>
        <v>0.1512</v>
      </c>
      <c r="AQ129" s="107">
        <f t="shared" si="67"/>
        <v>0.0132</v>
      </c>
      <c r="AR129" s="105">
        <f t="shared" si="68"/>
        <v>1.05853006309484</v>
      </c>
      <c r="AS129" s="106">
        <f t="shared" si="69"/>
        <v>20.3333333333333</v>
      </c>
      <c r="AT129" s="107">
        <f t="shared" si="70"/>
        <v>95.0517164237708</v>
      </c>
    </row>
    <row r="130" spans="17:46">
      <c r="Q130">
        <v>123</v>
      </c>
      <c r="R130" s="105">
        <f t="shared" si="43"/>
        <v>10</v>
      </c>
      <c r="S130" s="106">
        <f t="shared" si="71"/>
        <v>2.05</v>
      </c>
      <c r="T130" s="106">
        <f t="shared" si="45"/>
        <v>4</v>
      </c>
      <c r="U130" s="107">
        <f t="shared" si="72"/>
        <v>5.125</v>
      </c>
      <c r="V130" s="105">
        <f t="shared" si="73"/>
        <v>2</v>
      </c>
      <c r="W130" s="106">
        <f t="shared" si="74"/>
        <v>0.714285714285714</v>
      </c>
      <c r="X130" s="107">
        <f t="shared" si="75"/>
        <v>0.285714285714286</v>
      </c>
      <c r="Y130" s="105">
        <f t="shared" si="55"/>
        <v>0.408163265306122</v>
      </c>
      <c r="Z130" s="106">
        <f t="shared" si="56"/>
        <v>7.58316326530612</v>
      </c>
      <c r="AA130" s="106">
        <f t="shared" si="57"/>
        <v>5.1263542702648</v>
      </c>
      <c r="AB130" s="106">
        <v>0</v>
      </c>
      <c r="AC130" s="106">
        <f t="shared" si="58"/>
        <v>0.262795081042621</v>
      </c>
      <c r="AD130" s="107">
        <f t="shared" si="59"/>
        <v>0.262795081042621</v>
      </c>
      <c r="AE130" s="105">
        <f t="shared" si="60"/>
        <v>7.50446428571429</v>
      </c>
      <c r="AF130" s="106">
        <f t="shared" si="61"/>
        <v>5.1263542702648</v>
      </c>
      <c r="AG130" s="106">
        <f t="shared" si="76"/>
        <v>0.170816802677704</v>
      </c>
      <c r="AH130" s="106">
        <f t="shared" si="77"/>
        <v>-0.194881325815036</v>
      </c>
      <c r="AI130" s="107">
        <f t="shared" si="62"/>
        <v>-0.0240645231373321</v>
      </c>
      <c r="AJ130" s="105">
        <f t="shared" si="63"/>
        <v>2.05</v>
      </c>
      <c r="AK130" s="106">
        <f t="shared" si="64"/>
        <v>3.94478783951032</v>
      </c>
      <c r="AL130" s="106">
        <f t="shared" si="65"/>
        <v>0.66625</v>
      </c>
      <c r="AM130" s="106">
        <f t="shared" si="78"/>
        <v>0</v>
      </c>
      <c r="AN130" s="107">
        <f t="shared" si="66"/>
        <v>0.66625</v>
      </c>
      <c r="AO130" s="105">
        <f t="shared" si="79"/>
        <v>0.262795081042621</v>
      </c>
      <c r="AP130" s="106">
        <f t="shared" si="54"/>
        <v>0.1512</v>
      </c>
      <c r="AQ130" s="107">
        <f t="shared" si="67"/>
        <v>0.0132</v>
      </c>
      <c r="AR130" s="105">
        <f t="shared" si="68"/>
        <v>1.06938055790529</v>
      </c>
      <c r="AS130" s="106">
        <f t="shared" si="69"/>
        <v>20.5</v>
      </c>
      <c r="AT130" s="107">
        <f t="shared" si="70"/>
        <v>95.0421359805191</v>
      </c>
    </row>
    <row r="131" spans="17:46">
      <c r="Q131">
        <v>124</v>
      </c>
      <c r="R131" s="105">
        <f t="shared" si="43"/>
        <v>10</v>
      </c>
      <c r="S131" s="106">
        <f t="shared" si="71"/>
        <v>2.06666666666667</v>
      </c>
      <c r="T131" s="106">
        <f t="shared" si="45"/>
        <v>4</v>
      </c>
      <c r="U131" s="107">
        <f t="shared" si="72"/>
        <v>5.16666666666667</v>
      </c>
      <c r="V131" s="105">
        <f t="shared" si="73"/>
        <v>2</v>
      </c>
      <c r="W131" s="106">
        <f t="shared" si="74"/>
        <v>0.714285714285714</v>
      </c>
      <c r="X131" s="107">
        <f t="shared" si="75"/>
        <v>0.285714285714286</v>
      </c>
      <c r="Y131" s="105">
        <f t="shared" si="55"/>
        <v>0.408163265306122</v>
      </c>
      <c r="Z131" s="106">
        <f t="shared" si="56"/>
        <v>7.64149659863945</v>
      </c>
      <c r="AA131" s="106">
        <f t="shared" si="57"/>
        <v>5.1680100182475</v>
      </c>
      <c r="AB131" s="106">
        <v>0</v>
      </c>
      <c r="AC131" s="106">
        <f t="shared" si="58"/>
        <v>0.267083275487066</v>
      </c>
      <c r="AD131" s="107">
        <f t="shared" si="59"/>
        <v>0.267083275487066</v>
      </c>
      <c r="AE131" s="105">
        <f t="shared" si="60"/>
        <v>7.62698412698413</v>
      </c>
      <c r="AF131" s="106">
        <f t="shared" si="61"/>
        <v>5.1680100182475</v>
      </c>
      <c r="AG131" s="106">
        <f t="shared" si="76"/>
        <v>0.173604129066593</v>
      </c>
      <c r="AH131" s="106">
        <f t="shared" si="77"/>
        <v>-0.196465726837922</v>
      </c>
      <c r="AI131" s="107">
        <f t="shared" si="62"/>
        <v>-0.0228615977713297</v>
      </c>
      <c r="AJ131" s="105">
        <f t="shared" si="63"/>
        <v>2.06666666666667</v>
      </c>
      <c r="AK131" s="106">
        <f t="shared" si="64"/>
        <v>3.97596437468017</v>
      </c>
      <c r="AL131" s="106">
        <f t="shared" si="65"/>
        <v>0.671666666666667</v>
      </c>
      <c r="AM131" s="106">
        <f t="shared" si="78"/>
        <v>0</v>
      </c>
      <c r="AN131" s="107">
        <f t="shared" si="66"/>
        <v>0.671666666666667</v>
      </c>
      <c r="AO131" s="105">
        <f t="shared" si="79"/>
        <v>0.267083275487066</v>
      </c>
      <c r="AP131" s="106">
        <f t="shared" si="54"/>
        <v>0.1512</v>
      </c>
      <c r="AQ131" s="107">
        <f t="shared" si="67"/>
        <v>0.0132</v>
      </c>
      <c r="AR131" s="105">
        <f t="shared" si="68"/>
        <v>1.0802883443824</v>
      </c>
      <c r="AS131" s="106">
        <f t="shared" si="69"/>
        <v>20.6666666666667</v>
      </c>
      <c r="AT131" s="107">
        <f t="shared" si="70"/>
        <v>95.0324615844676</v>
      </c>
    </row>
    <row r="132" spans="17:46">
      <c r="Q132">
        <v>125</v>
      </c>
      <c r="R132" s="105">
        <f t="shared" si="43"/>
        <v>10</v>
      </c>
      <c r="S132" s="106">
        <f t="shared" si="71"/>
        <v>2.08333333333333</v>
      </c>
      <c r="T132" s="106">
        <f t="shared" si="45"/>
        <v>4</v>
      </c>
      <c r="U132" s="107">
        <f t="shared" si="72"/>
        <v>5.20833333333333</v>
      </c>
      <c r="V132" s="105">
        <f t="shared" si="73"/>
        <v>2</v>
      </c>
      <c r="W132" s="106">
        <f t="shared" si="74"/>
        <v>0.714285714285714</v>
      </c>
      <c r="X132" s="107">
        <f t="shared" si="75"/>
        <v>0.285714285714286</v>
      </c>
      <c r="Y132" s="105">
        <f t="shared" si="55"/>
        <v>0.408163265306122</v>
      </c>
      <c r="Z132" s="106">
        <f t="shared" si="56"/>
        <v>7.69982993197279</v>
      </c>
      <c r="AA132" s="106">
        <f t="shared" si="57"/>
        <v>5.20966594086159</v>
      </c>
      <c r="AB132" s="106">
        <v>0</v>
      </c>
      <c r="AC132" s="106">
        <f t="shared" si="58"/>
        <v>0.271406192153732</v>
      </c>
      <c r="AD132" s="107">
        <f t="shared" si="59"/>
        <v>0.271406192153732</v>
      </c>
      <c r="AE132" s="105">
        <f t="shared" si="60"/>
        <v>7.75049603174603</v>
      </c>
      <c r="AF132" s="106">
        <f t="shared" si="61"/>
        <v>5.20966594086159</v>
      </c>
      <c r="AG132" s="106">
        <f t="shared" si="76"/>
        <v>0.176414024899926</v>
      </c>
      <c r="AH132" s="106">
        <f t="shared" si="77"/>
        <v>-0.198050127860809</v>
      </c>
      <c r="AI132" s="107">
        <f t="shared" si="62"/>
        <v>-0.0216361029608829</v>
      </c>
      <c r="AJ132" s="105">
        <f t="shared" si="63"/>
        <v>2.08333333333333</v>
      </c>
      <c r="AK132" s="106">
        <f t="shared" si="64"/>
        <v>4.00714097120973</v>
      </c>
      <c r="AL132" s="106">
        <f t="shared" si="65"/>
        <v>0.677083333333333</v>
      </c>
      <c r="AM132" s="106">
        <f t="shared" si="78"/>
        <v>0</v>
      </c>
      <c r="AN132" s="107">
        <f t="shared" si="66"/>
        <v>0.677083333333333</v>
      </c>
      <c r="AO132" s="105">
        <f t="shared" si="79"/>
        <v>0.271406192153732</v>
      </c>
      <c r="AP132" s="106">
        <f t="shared" si="54"/>
        <v>0.1512</v>
      </c>
      <c r="AQ132" s="107">
        <f t="shared" si="67"/>
        <v>0.0132</v>
      </c>
      <c r="AR132" s="105">
        <f t="shared" si="68"/>
        <v>1.09125342252618</v>
      </c>
      <c r="AS132" s="106">
        <f t="shared" si="69"/>
        <v>20.8333333333333</v>
      </c>
      <c r="AT132" s="107">
        <f t="shared" si="70"/>
        <v>95.0226955943216</v>
      </c>
    </row>
    <row r="133" spans="17:46">
      <c r="Q133">
        <v>126</v>
      </c>
      <c r="R133" s="105">
        <f t="shared" si="43"/>
        <v>10</v>
      </c>
      <c r="S133" s="106">
        <f t="shared" si="71"/>
        <v>2.1</v>
      </c>
      <c r="T133" s="106">
        <f t="shared" si="45"/>
        <v>4</v>
      </c>
      <c r="U133" s="107">
        <f t="shared" si="72"/>
        <v>5.25</v>
      </c>
      <c r="V133" s="105">
        <f t="shared" si="73"/>
        <v>2</v>
      </c>
      <c r="W133" s="106">
        <f t="shared" si="74"/>
        <v>0.714285714285714</v>
      </c>
      <c r="X133" s="107">
        <f t="shared" si="75"/>
        <v>0.285714285714286</v>
      </c>
      <c r="Y133" s="105">
        <f t="shared" si="55"/>
        <v>0.408163265306122</v>
      </c>
      <c r="Z133" s="106">
        <f t="shared" si="56"/>
        <v>7.75816326530612</v>
      </c>
      <c r="AA133" s="106">
        <f t="shared" si="57"/>
        <v>5.25132203395127</v>
      </c>
      <c r="AB133" s="106">
        <v>0</v>
      </c>
      <c r="AC133" s="106">
        <f t="shared" si="58"/>
        <v>0.275763831042621</v>
      </c>
      <c r="AD133" s="107">
        <f t="shared" si="59"/>
        <v>0.275763831042621</v>
      </c>
      <c r="AE133" s="105">
        <f t="shared" si="60"/>
        <v>7.875</v>
      </c>
      <c r="AF133" s="106">
        <f t="shared" si="61"/>
        <v>5.25132203395127</v>
      </c>
      <c r="AG133" s="106">
        <f t="shared" si="76"/>
        <v>0.179246490177704</v>
      </c>
      <c r="AH133" s="106">
        <f t="shared" si="77"/>
        <v>-0.199634528883695</v>
      </c>
      <c r="AI133" s="107">
        <f t="shared" si="62"/>
        <v>-0.0203880387059915</v>
      </c>
      <c r="AJ133" s="105">
        <f t="shared" si="63"/>
        <v>2.1</v>
      </c>
      <c r="AK133" s="106">
        <f t="shared" si="64"/>
        <v>4.03831762767787</v>
      </c>
      <c r="AL133" s="106">
        <f t="shared" si="65"/>
        <v>0.6825</v>
      </c>
      <c r="AM133" s="106">
        <f t="shared" si="78"/>
        <v>0</v>
      </c>
      <c r="AN133" s="107">
        <f t="shared" si="66"/>
        <v>0.6825</v>
      </c>
      <c r="AO133" s="105">
        <f t="shared" si="79"/>
        <v>0.275763831042621</v>
      </c>
      <c r="AP133" s="106">
        <f t="shared" si="54"/>
        <v>0.1512</v>
      </c>
      <c r="AQ133" s="107">
        <f t="shared" si="67"/>
        <v>0.0132</v>
      </c>
      <c r="AR133" s="105">
        <f t="shared" si="68"/>
        <v>1.10227579233663</v>
      </c>
      <c r="AS133" s="106">
        <f t="shared" si="69"/>
        <v>21</v>
      </c>
      <c r="AT133" s="107">
        <f t="shared" si="70"/>
        <v>95.0128402943971</v>
      </c>
    </row>
    <row r="134" spans="17:46">
      <c r="Q134">
        <v>127</v>
      </c>
      <c r="R134" s="105">
        <f t="shared" si="43"/>
        <v>10</v>
      </c>
      <c r="S134" s="106">
        <f t="shared" si="71"/>
        <v>2.11666666666667</v>
      </c>
      <c r="T134" s="106">
        <f t="shared" si="45"/>
        <v>4</v>
      </c>
      <c r="U134" s="107">
        <f t="shared" si="72"/>
        <v>5.29166666666667</v>
      </c>
      <c r="V134" s="105">
        <f t="shared" si="73"/>
        <v>2</v>
      </c>
      <c r="W134" s="106">
        <f t="shared" si="74"/>
        <v>0.714285714285714</v>
      </c>
      <c r="X134" s="107">
        <f t="shared" si="75"/>
        <v>0.285714285714286</v>
      </c>
      <c r="Y134" s="105">
        <f t="shared" si="55"/>
        <v>0.408163265306122</v>
      </c>
      <c r="Z134" s="106">
        <f t="shared" si="56"/>
        <v>7.81649659863946</v>
      </c>
      <c r="AA134" s="106">
        <f t="shared" si="57"/>
        <v>5.2929782934916</v>
      </c>
      <c r="AB134" s="106">
        <v>0</v>
      </c>
      <c r="AC134" s="106">
        <f t="shared" si="58"/>
        <v>0.280156192153732</v>
      </c>
      <c r="AD134" s="107">
        <f t="shared" si="59"/>
        <v>0.280156192153732</v>
      </c>
      <c r="AE134" s="105">
        <f t="shared" si="60"/>
        <v>8.00049603174603</v>
      </c>
      <c r="AF134" s="106">
        <f t="shared" si="61"/>
        <v>5.2929782934916</v>
      </c>
      <c r="AG134" s="106">
        <f t="shared" si="76"/>
        <v>0.182101524899926</v>
      </c>
      <c r="AH134" s="106">
        <f t="shared" si="77"/>
        <v>-0.201218929906582</v>
      </c>
      <c r="AI134" s="107">
        <f t="shared" si="62"/>
        <v>-0.0191174050066558</v>
      </c>
      <c r="AJ134" s="105">
        <f t="shared" si="63"/>
        <v>2.11666666666667</v>
      </c>
      <c r="AK134" s="106">
        <f t="shared" si="64"/>
        <v>4.06949434270703</v>
      </c>
      <c r="AL134" s="106">
        <f t="shared" si="65"/>
        <v>0.687916666666667</v>
      </c>
      <c r="AM134" s="106">
        <f t="shared" si="78"/>
        <v>0</v>
      </c>
      <c r="AN134" s="107">
        <f t="shared" si="66"/>
        <v>0.687916666666667</v>
      </c>
      <c r="AO134" s="105">
        <f t="shared" si="79"/>
        <v>0.280156192153732</v>
      </c>
      <c r="AP134" s="106">
        <f t="shared" si="54"/>
        <v>0.1512</v>
      </c>
      <c r="AQ134" s="107">
        <f t="shared" si="67"/>
        <v>0.0132</v>
      </c>
      <c r="AR134" s="105">
        <f t="shared" si="68"/>
        <v>1.11335545381374</v>
      </c>
      <c r="AS134" s="106">
        <f t="shared" si="69"/>
        <v>21.1666666666667</v>
      </c>
      <c r="AT134" s="107">
        <f t="shared" si="70"/>
        <v>95.002897897528</v>
      </c>
    </row>
    <row r="135" spans="17:46">
      <c r="Q135">
        <v>128</v>
      </c>
      <c r="R135" s="105">
        <f t="shared" ref="R135:R157" si="80">VOUT</f>
        <v>10</v>
      </c>
      <c r="S135" s="106">
        <f t="shared" ref="S135:S157" si="81">Q135*$O$12</f>
        <v>2.13333333333333</v>
      </c>
      <c r="T135" s="106">
        <f t="shared" ref="T135:T157" si="82">VIN_var</f>
        <v>4</v>
      </c>
      <c r="U135" s="107">
        <f t="shared" ref="U135:U157" si="83">(R135*S135)/(T135*EFF_est)</f>
        <v>5.33333333333333</v>
      </c>
      <c r="V135" s="105">
        <f t="shared" ref="V135:V157" si="84">IF(S135&lt;((T135^2)*R135)/(2*Fsw*Lm*((T135+R135)^2)),1,2)</f>
        <v>2</v>
      </c>
      <c r="W135" s="106">
        <f t="shared" ref="W135:W157" si="85">CHOOSE(V135,SQRT(2*Lm*R135*S135*Fsw)/T135,R135/(T135+R135))</f>
        <v>0.714285714285714</v>
      </c>
      <c r="X135" s="107">
        <f t="shared" ref="X135:X157" si="86">CHOOSE(V135,(Lm*Z135*Fsw)/(R135),1-W135)</f>
        <v>0.285714285714286</v>
      </c>
      <c r="Y135" s="105">
        <f t="shared" si="55"/>
        <v>0.408163265306122</v>
      </c>
      <c r="Z135" s="106">
        <f t="shared" si="56"/>
        <v>7.87482993197279</v>
      </c>
      <c r="AA135" s="106">
        <f t="shared" si="57"/>
        <v>5.3346347155833</v>
      </c>
      <c r="AB135" s="106">
        <v>0</v>
      </c>
      <c r="AC135" s="106">
        <f t="shared" si="58"/>
        <v>0.284583275487066</v>
      </c>
      <c r="AD135" s="107">
        <f t="shared" si="59"/>
        <v>0.284583275487066</v>
      </c>
      <c r="AE135" s="105">
        <f t="shared" si="60"/>
        <v>8.12698412698413</v>
      </c>
      <c r="AF135" s="106">
        <f t="shared" si="61"/>
        <v>5.3346347155833</v>
      </c>
      <c r="AG135" s="106">
        <f t="shared" ref="AG135:AG157" si="87">(AF135^2)*RDS_on</f>
        <v>0.184979129066593</v>
      </c>
      <c r="AH135" s="106">
        <f t="shared" ref="AH135:AH157" si="88">(((R135+T135)*(U135+S135))/2)*Fsw*(tr_sw+tf_sw)</f>
        <v>-0.202803330929468</v>
      </c>
      <c r="AI135" s="107">
        <f t="shared" si="62"/>
        <v>-0.0178242018628756</v>
      </c>
      <c r="AJ135" s="105">
        <f t="shared" si="63"/>
        <v>2.13333333333333</v>
      </c>
      <c r="AK135" s="106">
        <f t="shared" si="64"/>
        <v>4.1006711149615</v>
      </c>
      <c r="AL135" s="106">
        <f t="shared" si="65"/>
        <v>0.693333333333333</v>
      </c>
      <c r="AM135" s="106">
        <f t="shared" ref="AM135:AM157" si="89">(R135+T135+Vd_rect)*Qrr*Fsw</f>
        <v>0</v>
      </c>
      <c r="AN135" s="107">
        <f t="shared" si="66"/>
        <v>0.693333333333333</v>
      </c>
      <c r="AO135" s="105">
        <f t="shared" ref="AO135:AO157" si="90">(AF135^2)*R_cs</f>
        <v>0.284583275487066</v>
      </c>
      <c r="AP135" s="106">
        <f t="shared" ref="AP135:AP157" si="91">Qg_tot*Vcc*Fsw</f>
        <v>0.1512</v>
      </c>
      <c r="AQ135" s="107">
        <f t="shared" si="67"/>
        <v>0.0132</v>
      </c>
      <c r="AR135" s="105">
        <f t="shared" si="68"/>
        <v>1.12449240695752</v>
      </c>
      <c r="AS135" s="106">
        <f t="shared" si="69"/>
        <v>21.3333333333333</v>
      </c>
      <c r="AT135" s="107">
        <f t="shared" si="70"/>
        <v>94.9928705478371</v>
      </c>
    </row>
    <row r="136" spans="17:46">
      <c r="Q136">
        <v>129</v>
      </c>
      <c r="R136" s="105">
        <f t="shared" si="80"/>
        <v>10</v>
      </c>
      <c r="S136" s="106">
        <f t="shared" si="81"/>
        <v>2.15</v>
      </c>
      <c r="T136" s="106">
        <f t="shared" si="82"/>
        <v>4</v>
      </c>
      <c r="U136" s="107">
        <f t="shared" si="83"/>
        <v>5.375</v>
      </c>
      <c r="V136" s="105">
        <f t="shared" si="84"/>
        <v>2</v>
      </c>
      <c r="W136" s="106">
        <f t="shared" si="85"/>
        <v>0.714285714285714</v>
      </c>
      <c r="X136" s="107">
        <f t="shared" si="86"/>
        <v>0.285714285714286</v>
      </c>
      <c r="Y136" s="105">
        <f t="shared" ref="Y136:Y157" si="92">(T136*W136)/(Lm*Fsw)</f>
        <v>0.408163265306122</v>
      </c>
      <c r="Z136" s="106">
        <f t="shared" ref="Z136:Z157" si="93">CHOOSE(V136,Y136,U136+S136+(Y136))</f>
        <v>7.93316326530612</v>
      </c>
      <c r="AA136" s="106">
        <f t="shared" ref="AA136:AA157" si="94">CHOOSE(V136,Z136*SQRT((W136+X136)/3),SQRT((U136^2)+((Y136^2)/12)))</f>
        <v>5.37629129644796</v>
      </c>
      <c r="AB136" s="106">
        <v>0</v>
      </c>
      <c r="AC136" s="106">
        <f t="shared" ref="AC136:AC157" si="95">(AA136^2)*Rdcr</f>
        <v>0.289045081042621</v>
      </c>
      <c r="AD136" s="107">
        <f t="shared" ref="AD136:AD157" si="96">AB136+AC136</f>
        <v>0.289045081042621</v>
      </c>
      <c r="AE136" s="105">
        <f t="shared" ref="AE136:AE157" si="97">U136*S136*W136</f>
        <v>8.25446428571429</v>
      </c>
      <c r="AF136" s="106">
        <f t="shared" ref="AF136:AF157" si="98">AA136</f>
        <v>5.37629129644796</v>
      </c>
      <c r="AG136" s="106">
        <f t="shared" si="87"/>
        <v>0.187879302677704</v>
      </c>
      <c r="AH136" s="106">
        <f t="shared" si="88"/>
        <v>-0.204387731952355</v>
      </c>
      <c r="AI136" s="107">
        <f t="shared" ref="AI136:AI157" si="99">AG136+AH136</f>
        <v>-0.016508429274651</v>
      </c>
      <c r="AJ136" s="105">
        <f t="shared" ref="AJ136:AJ157" si="100">S136</f>
        <v>2.15</v>
      </c>
      <c r="AK136" s="106">
        <f t="shared" ref="AK136:AK157" si="101">CHOOSE(V136,Z136*SQRT(X136/3),SQRT(X136*((Z136^2)+((Y136^2)/3)-(Y136*Z136))))</f>
        <v>4.13184794314592</v>
      </c>
      <c r="AL136" s="106">
        <f t="shared" ref="AL136:AL157" si="102">S136*Vd_rect</f>
        <v>0.69875</v>
      </c>
      <c r="AM136" s="106">
        <f t="shared" si="89"/>
        <v>0</v>
      </c>
      <c r="AN136" s="107">
        <f t="shared" ref="AN136:AN157" si="103">AL136+AM136</f>
        <v>0.69875</v>
      </c>
      <c r="AO136" s="105">
        <f t="shared" si="90"/>
        <v>0.289045081042621</v>
      </c>
      <c r="AP136" s="106">
        <f t="shared" si="91"/>
        <v>0.1512</v>
      </c>
      <c r="AQ136" s="107">
        <f t="shared" ref="AQ136:AQ157" si="104">IQ*T136</f>
        <v>0.0132</v>
      </c>
      <c r="AR136" s="105">
        <f t="shared" ref="AR136:AR157" si="105">AO136+AN136+AI136+AP136+AQ136</f>
        <v>1.13568665176797</v>
      </c>
      <c r="AS136" s="106">
        <f t="shared" ref="AS136:AS157" si="106">R136*S136</f>
        <v>21.5</v>
      </c>
      <c r="AT136" s="107">
        <f t="shared" ref="AT136:AT157" si="107">(AS136/(AS136+AR136))*100</f>
        <v>94.9827603233796</v>
      </c>
    </row>
    <row r="137" spans="17:46">
      <c r="Q137">
        <v>130</v>
      </c>
      <c r="R137" s="105">
        <f t="shared" si="80"/>
        <v>10</v>
      </c>
      <c r="S137" s="106">
        <f t="shared" si="81"/>
        <v>2.16666666666667</v>
      </c>
      <c r="T137" s="106">
        <f t="shared" si="82"/>
        <v>4</v>
      </c>
      <c r="U137" s="107">
        <f t="shared" si="83"/>
        <v>5.41666666666667</v>
      </c>
      <c r="V137" s="105">
        <f t="shared" si="84"/>
        <v>2</v>
      </c>
      <c r="W137" s="106">
        <f t="shared" si="85"/>
        <v>0.714285714285714</v>
      </c>
      <c r="X137" s="107">
        <f t="shared" si="86"/>
        <v>0.285714285714286</v>
      </c>
      <c r="Y137" s="105">
        <f t="shared" si="92"/>
        <v>0.408163265306122</v>
      </c>
      <c r="Z137" s="106">
        <f t="shared" si="93"/>
        <v>7.99149659863945</v>
      </c>
      <c r="AA137" s="106">
        <f t="shared" si="94"/>
        <v>5.41794803242334</v>
      </c>
      <c r="AB137" s="106">
        <v>0</v>
      </c>
      <c r="AC137" s="106">
        <f t="shared" si="95"/>
        <v>0.293541608820399</v>
      </c>
      <c r="AD137" s="107">
        <f t="shared" si="96"/>
        <v>0.293541608820399</v>
      </c>
      <c r="AE137" s="105">
        <f t="shared" si="97"/>
        <v>8.38293650793651</v>
      </c>
      <c r="AF137" s="106">
        <f t="shared" si="98"/>
        <v>5.41794803242334</v>
      </c>
      <c r="AG137" s="106">
        <f t="shared" si="87"/>
        <v>0.190802045733259</v>
      </c>
      <c r="AH137" s="106">
        <f t="shared" si="88"/>
        <v>-0.205972132975241</v>
      </c>
      <c r="AI137" s="107">
        <f t="shared" si="99"/>
        <v>-0.0151700872419818</v>
      </c>
      <c r="AJ137" s="105">
        <f t="shared" si="100"/>
        <v>2.16666666666667</v>
      </c>
      <c r="AK137" s="106">
        <f t="shared" si="101"/>
        <v>4.1630248260037</v>
      </c>
      <c r="AL137" s="106">
        <f t="shared" si="102"/>
        <v>0.704166666666667</v>
      </c>
      <c r="AM137" s="106">
        <f t="shared" si="89"/>
        <v>0</v>
      </c>
      <c r="AN137" s="107">
        <f t="shared" si="103"/>
        <v>0.704166666666667</v>
      </c>
      <c r="AO137" s="105">
        <f t="shared" si="90"/>
        <v>0.293541608820399</v>
      </c>
      <c r="AP137" s="106">
        <f t="shared" si="91"/>
        <v>0.1512</v>
      </c>
      <c r="AQ137" s="107">
        <f t="shared" si="104"/>
        <v>0.0132</v>
      </c>
      <c r="AR137" s="105">
        <f t="shared" si="105"/>
        <v>1.14693818824508</v>
      </c>
      <c r="AS137" s="106">
        <f t="shared" si="106"/>
        <v>21.6666666666667</v>
      </c>
      <c r="AT137" s="107">
        <f t="shared" si="107"/>
        <v>94.9725692386657</v>
      </c>
    </row>
    <row r="138" spans="17:46">
      <c r="Q138">
        <v>131</v>
      </c>
      <c r="R138" s="105">
        <f t="shared" si="80"/>
        <v>10</v>
      </c>
      <c r="S138" s="106">
        <f t="shared" si="81"/>
        <v>2.18333333333333</v>
      </c>
      <c r="T138" s="106">
        <f t="shared" si="82"/>
        <v>4</v>
      </c>
      <c r="U138" s="107">
        <f t="shared" si="83"/>
        <v>5.45833333333333</v>
      </c>
      <c r="V138" s="105">
        <f t="shared" si="84"/>
        <v>2</v>
      </c>
      <c r="W138" s="106">
        <f t="shared" si="85"/>
        <v>0.714285714285714</v>
      </c>
      <c r="X138" s="107">
        <f t="shared" si="86"/>
        <v>0.285714285714286</v>
      </c>
      <c r="Y138" s="105">
        <f t="shared" si="92"/>
        <v>0.408163265306122</v>
      </c>
      <c r="Z138" s="106">
        <f t="shared" si="93"/>
        <v>8.04982993197279</v>
      </c>
      <c r="AA138" s="106">
        <f t="shared" si="94"/>
        <v>5.45960491995894</v>
      </c>
      <c r="AB138" s="106">
        <v>0</v>
      </c>
      <c r="AC138" s="106">
        <f t="shared" si="95"/>
        <v>0.298072858820399</v>
      </c>
      <c r="AD138" s="107">
        <f t="shared" si="96"/>
        <v>0.298072858820399</v>
      </c>
      <c r="AE138" s="105">
        <f t="shared" si="97"/>
        <v>8.51240079365079</v>
      </c>
      <c r="AF138" s="106">
        <f t="shared" si="98"/>
        <v>5.45960491995894</v>
      </c>
      <c r="AG138" s="106">
        <f t="shared" si="87"/>
        <v>0.193747358233259</v>
      </c>
      <c r="AH138" s="106">
        <f t="shared" si="88"/>
        <v>-0.207556533998128</v>
      </c>
      <c r="AI138" s="107">
        <f t="shared" si="99"/>
        <v>-0.0138091757648683</v>
      </c>
      <c r="AJ138" s="105">
        <f t="shared" si="100"/>
        <v>2.18333333333333</v>
      </c>
      <c r="AK138" s="106">
        <f t="shared" si="101"/>
        <v>4.19420176231563</v>
      </c>
      <c r="AL138" s="106">
        <f t="shared" si="102"/>
        <v>0.709583333333333</v>
      </c>
      <c r="AM138" s="106">
        <f t="shared" si="89"/>
        <v>0</v>
      </c>
      <c r="AN138" s="107">
        <f t="shared" si="103"/>
        <v>0.709583333333333</v>
      </c>
      <c r="AO138" s="105">
        <f t="shared" si="90"/>
        <v>0.298072858820399</v>
      </c>
      <c r="AP138" s="106">
        <f t="shared" si="91"/>
        <v>0.1512</v>
      </c>
      <c r="AQ138" s="107">
        <f t="shared" si="104"/>
        <v>0.0132</v>
      </c>
      <c r="AR138" s="105">
        <f t="shared" si="105"/>
        <v>1.15824701638886</v>
      </c>
      <c r="AS138" s="106">
        <f t="shared" si="106"/>
        <v>21.8333333333333</v>
      </c>
      <c r="AT138" s="107">
        <f t="shared" si="107"/>
        <v>94.9622992470682</v>
      </c>
    </row>
    <row r="139" spans="17:46">
      <c r="Q139">
        <v>132</v>
      </c>
      <c r="R139" s="105">
        <f t="shared" si="80"/>
        <v>10</v>
      </c>
      <c r="S139" s="106">
        <f t="shared" si="81"/>
        <v>2.2</v>
      </c>
      <c r="T139" s="106">
        <f t="shared" si="82"/>
        <v>4</v>
      </c>
      <c r="U139" s="107">
        <f t="shared" si="83"/>
        <v>5.5</v>
      </c>
      <c r="V139" s="105">
        <f t="shared" si="84"/>
        <v>2</v>
      </c>
      <c r="W139" s="106">
        <f t="shared" si="85"/>
        <v>0.714285714285714</v>
      </c>
      <c r="X139" s="107">
        <f t="shared" si="86"/>
        <v>0.285714285714286</v>
      </c>
      <c r="Y139" s="105">
        <f t="shared" si="92"/>
        <v>0.408163265306122</v>
      </c>
      <c r="Z139" s="106">
        <f t="shared" si="93"/>
        <v>8.10816326530612</v>
      </c>
      <c r="AA139" s="106">
        <f t="shared" si="94"/>
        <v>5.50126195561183</v>
      </c>
      <c r="AB139" s="106">
        <v>0</v>
      </c>
      <c r="AC139" s="106">
        <f t="shared" si="95"/>
        <v>0.302638831042621</v>
      </c>
      <c r="AD139" s="107">
        <f t="shared" si="96"/>
        <v>0.302638831042621</v>
      </c>
      <c r="AE139" s="105">
        <f t="shared" si="97"/>
        <v>8.64285714285714</v>
      </c>
      <c r="AF139" s="106">
        <f t="shared" si="98"/>
        <v>5.50126195561183</v>
      </c>
      <c r="AG139" s="106">
        <f t="shared" si="87"/>
        <v>0.196715240177704</v>
      </c>
      <c r="AH139" s="106">
        <f t="shared" si="88"/>
        <v>-0.209140935021014</v>
      </c>
      <c r="AI139" s="107">
        <f t="shared" si="99"/>
        <v>-0.0124256948433103</v>
      </c>
      <c r="AJ139" s="105">
        <f t="shared" si="100"/>
        <v>2.2</v>
      </c>
      <c r="AK139" s="106">
        <f t="shared" si="101"/>
        <v>4.22537875089849</v>
      </c>
      <c r="AL139" s="106">
        <f t="shared" si="102"/>
        <v>0.715</v>
      </c>
      <c r="AM139" s="106">
        <f t="shared" si="89"/>
        <v>0</v>
      </c>
      <c r="AN139" s="107">
        <f t="shared" si="103"/>
        <v>0.715</v>
      </c>
      <c r="AO139" s="105">
        <f t="shared" si="90"/>
        <v>0.302638831042621</v>
      </c>
      <c r="AP139" s="106">
        <f t="shared" si="91"/>
        <v>0.1512</v>
      </c>
      <c r="AQ139" s="107">
        <f t="shared" si="104"/>
        <v>0.0132</v>
      </c>
      <c r="AR139" s="105">
        <f t="shared" si="105"/>
        <v>1.16961313619931</v>
      </c>
      <c r="AS139" s="106">
        <f t="shared" si="106"/>
        <v>22</v>
      </c>
      <c r="AT139" s="107">
        <f t="shared" si="107"/>
        <v>94.9519522431216</v>
      </c>
    </row>
    <row r="140" spans="17:46">
      <c r="Q140">
        <v>133</v>
      </c>
      <c r="R140" s="105">
        <f t="shared" si="80"/>
        <v>10</v>
      </c>
      <c r="S140" s="106">
        <f t="shared" si="81"/>
        <v>2.21666666666667</v>
      </c>
      <c r="T140" s="106">
        <f t="shared" si="82"/>
        <v>4</v>
      </c>
      <c r="U140" s="107">
        <f t="shared" si="83"/>
        <v>5.54166666666667</v>
      </c>
      <c r="V140" s="105">
        <f t="shared" si="84"/>
        <v>2</v>
      </c>
      <c r="W140" s="106">
        <f t="shared" si="85"/>
        <v>0.714285714285714</v>
      </c>
      <c r="X140" s="107">
        <f t="shared" si="86"/>
        <v>0.285714285714286</v>
      </c>
      <c r="Y140" s="105">
        <f t="shared" si="92"/>
        <v>0.408163265306122</v>
      </c>
      <c r="Z140" s="106">
        <f t="shared" si="93"/>
        <v>8.16649659863946</v>
      </c>
      <c r="AA140" s="106">
        <f t="shared" si="94"/>
        <v>5.54291913604254</v>
      </c>
      <c r="AB140" s="106">
        <v>0</v>
      </c>
      <c r="AC140" s="106">
        <f t="shared" si="95"/>
        <v>0.307239525487066</v>
      </c>
      <c r="AD140" s="107">
        <f t="shared" si="96"/>
        <v>0.307239525487066</v>
      </c>
      <c r="AE140" s="105">
        <f t="shared" si="97"/>
        <v>8.77430555555556</v>
      </c>
      <c r="AF140" s="106">
        <f t="shared" si="98"/>
        <v>5.54291913604254</v>
      </c>
      <c r="AG140" s="106">
        <f t="shared" si="87"/>
        <v>0.199705691566593</v>
      </c>
      <c r="AH140" s="106">
        <f t="shared" si="88"/>
        <v>-0.210725336043901</v>
      </c>
      <c r="AI140" s="107">
        <f t="shared" si="99"/>
        <v>-0.0110196444773079</v>
      </c>
      <c r="AJ140" s="105">
        <f t="shared" si="100"/>
        <v>2.21666666666667</v>
      </c>
      <c r="AK140" s="106">
        <f t="shared" si="101"/>
        <v>4.25655579060369</v>
      </c>
      <c r="AL140" s="106">
        <f t="shared" si="102"/>
        <v>0.720416666666667</v>
      </c>
      <c r="AM140" s="106">
        <f t="shared" si="89"/>
        <v>0</v>
      </c>
      <c r="AN140" s="107">
        <f t="shared" si="103"/>
        <v>0.720416666666667</v>
      </c>
      <c r="AO140" s="105">
        <f t="shared" si="90"/>
        <v>0.307239525487066</v>
      </c>
      <c r="AP140" s="106">
        <f t="shared" si="91"/>
        <v>0.1512</v>
      </c>
      <c r="AQ140" s="107">
        <f t="shared" si="104"/>
        <v>0.0132</v>
      </c>
      <c r="AR140" s="105">
        <f t="shared" si="105"/>
        <v>1.18103654767642</v>
      </c>
      <c r="AS140" s="106">
        <f t="shared" si="106"/>
        <v>22.1666666666667</v>
      </c>
      <c r="AT140" s="107">
        <f t="shared" si="107"/>
        <v>94.941530064718</v>
      </c>
    </row>
    <row r="141" spans="17:46">
      <c r="Q141">
        <v>134</v>
      </c>
      <c r="R141" s="105">
        <f t="shared" si="80"/>
        <v>10</v>
      </c>
      <c r="S141" s="106">
        <f t="shared" si="81"/>
        <v>2.23333333333333</v>
      </c>
      <c r="T141" s="106">
        <f t="shared" si="82"/>
        <v>4</v>
      </c>
      <c r="U141" s="107">
        <f t="shared" si="83"/>
        <v>5.58333333333333</v>
      </c>
      <c r="V141" s="105">
        <f t="shared" si="84"/>
        <v>2</v>
      </c>
      <c r="W141" s="106">
        <f t="shared" si="85"/>
        <v>0.714285714285714</v>
      </c>
      <c r="X141" s="107">
        <f t="shared" si="86"/>
        <v>0.285714285714286</v>
      </c>
      <c r="Y141" s="105">
        <f t="shared" si="92"/>
        <v>0.408163265306122</v>
      </c>
      <c r="Z141" s="106">
        <f t="shared" si="93"/>
        <v>8.22482993197279</v>
      </c>
      <c r="AA141" s="106">
        <f t="shared" si="94"/>
        <v>5.58457645801123</v>
      </c>
      <c r="AB141" s="106">
        <v>0</v>
      </c>
      <c r="AC141" s="106">
        <f t="shared" si="95"/>
        <v>0.311874942153732</v>
      </c>
      <c r="AD141" s="107">
        <f t="shared" si="96"/>
        <v>0.311874942153732</v>
      </c>
      <c r="AE141" s="105">
        <f t="shared" si="97"/>
        <v>8.90674603174603</v>
      </c>
      <c r="AF141" s="106">
        <f t="shared" si="98"/>
        <v>5.58457645801123</v>
      </c>
      <c r="AG141" s="106">
        <f t="shared" si="87"/>
        <v>0.202718712399926</v>
      </c>
      <c r="AH141" s="106">
        <f t="shared" si="88"/>
        <v>-0.212309737066787</v>
      </c>
      <c r="AI141" s="107">
        <f t="shared" si="99"/>
        <v>-0.00959102466686104</v>
      </c>
      <c r="AJ141" s="105">
        <f t="shared" si="100"/>
        <v>2.23333333333333</v>
      </c>
      <c r="AK141" s="106">
        <f t="shared" si="101"/>
        <v>4.28773288031607</v>
      </c>
      <c r="AL141" s="106">
        <f t="shared" si="102"/>
        <v>0.725833333333333</v>
      </c>
      <c r="AM141" s="106">
        <f t="shared" si="89"/>
        <v>0</v>
      </c>
      <c r="AN141" s="107">
        <f t="shared" si="103"/>
        <v>0.725833333333333</v>
      </c>
      <c r="AO141" s="105">
        <f t="shared" si="90"/>
        <v>0.311874942153732</v>
      </c>
      <c r="AP141" s="106">
        <f t="shared" si="91"/>
        <v>0.1512</v>
      </c>
      <c r="AQ141" s="107">
        <f t="shared" si="104"/>
        <v>0.0132</v>
      </c>
      <c r="AR141" s="105">
        <f t="shared" si="105"/>
        <v>1.1925172508202</v>
      </c>
      <c r="AS141" s="106">
        <f t="shared" si="106"/>
        <v>22.3333333333333</v>
      </c>
      <c r="AT141" s="107">
        <f t="shared" si="107"/>
        <v>94.9310344952056</v>
      </c>
    </row>
    <row r="142" spans="17:46">
      <c r="Q142">
        <v>135</v>
      </c>
      <c r="R142" s="105">
        <f t="shared" si="80"/>
        <v>10</v>
      </c>
      <c r="S142" s="106">
        <f t="shared" si="81"/>
        <v>2.25</v>
      </c>
      <c r="T142" s="106">
        <f t="shared" si="82"/>
        <v>4</v>
      </c>
      <c r="U142" s="107">
        <f t="shared" si="83"/>
        <v>5.625</v>
      </c>
      <c r="V142" s="105">
        <f t="shared" si="84"/>
        <v>2</v>
      </c>
      <c r="W142" s="106">
        <f t="shared" si="85"/>
        <v>0.714285714285714</v>
      </c>
      <c r="X142" s="107">
        <f t="shared" si="86"/>
        <v>0.285714285714286</v>
      </c>
      <c r="Y142" s="105">
        <f t="shared" si="92"/>
        <v>0.408163265306122</v>
      </c>
      <c r="Z142" s="106">
        <f t="shared" si="93"/>
        <v>8.28316326530612</v>
      </c>
      <c r="AA142" s="106">
        <f t="shared" si="94"/>
        <v>5.62623391837401</v>
      </c>
      <c r="AB142" s="106">
        <v>0</v>
      </c>
      <c r="AC142" s="106">
        <f t="shared" si="95"/>
        <v>0.316545081042621</v>
      </c>
      <c r="AD142" s="107">
        <f t="shared" si="96"/>
        <v>0.316545081042621</v>
      </c>
      <c r="AE142" s="105">
        <f t="shared" si="97"/>
        <v>9.04017857142857</v>
      </c>
      <c r="AF142" s="106">
        <f t="shared" si="98"/>
        <v>5.62623391837401</v>
      </c>
      <c r="AG142" s="106">
        <f t="shared" si="87"/>
        <v>0.205754302677704</v>
      </c>
      <c r="AH142" s="106">
        <f t="shared" si="88"/>
        <v>-0.213894138089674</v>
      </c>
      <c r="AI142" s="107">
        <f t="shared" si="99"/>
        <v>-0.00813983541196978</v>
      </c>
      <c r="AJ142" s="105">
        <f t="shared" si="100"/>
        <v>2.25</v>
      </c>
      <c r="AK142" s="106">
        <f t="shared" si="101"/>
        <v>4.31891001895267</v>
      </c>
      <c r="AL142" s="106">
        <f t="shared" si="102"/>
        <v>0.73125</v>
      </c>
      <c r="AM142" s="106">
        <f t="shared" si="89"/>
        <v>0</v>
      </c>
      <c r="AN142" s="107">
        <f t="shared" si="103"/>
        <v>0.73125</v>
      </c>
      <c r="AO142" s="105">
        <f t="shared" si="90"/>
        <v>0.316545081042621</v>
      </c>
      <c r="AP142" s="106">
        <f t="shared" si="91"/>
        <v>0.1512</v>
      </c>
      <c r="AQ142" s="107">
        <f t="shared" si="104"/>
        <v>0.0132</v>
      </c>
      <c r="AR142" s="105">
        <f t="shared" si="105"/>
        <v>1.20405524563065</v>
      </c>
      <c r="AS142" s="106">
        <f t="shared" si="106"/>
        <v>22.5</v>
      </c>
      <c r="AT142" s="107">
        <f t="shared" si="107"/>
        <v>94.920467265395</v>
      </c>
    </row>
    <row r="143" spans="17:46">
      <c r="Q143">
        <v>136</v>
      </c>
      <c r="R143" s="105">
        <f t="shared" si="80"/>
        <v>10</v>
      </c>
      <c r="S143" s="106">
        <f t="shared" si="81"/>
        <v>2.26666666666667</v>
      </c>
      <c r="T143" s="106">
        <f t="shared" si="82"/>
        <v>4</v>
      </c>
      <c r="U143" s="107">
        <f t="shared" si="83"/>
        <v>5.66666666666667</v>
      </c>
      <c r="V143" s="105">
        <f t="shared" si="84"/>
        <v>2</v>
      </c>
      <c r="W143" s="106">
        <f t="shared" si="85"/>
        <v>0.714285714285714</v>
      </c>
      <c r="X143" s="107">
        <f t="shared" si="86"/>
        <v>0.285714285714286</v>
      </c>
      <c r="Y143" s="105">
        <f t="shared" si="92"/>
        <v>0.408163265306122</v>
      </c>
      <c r="Z143" s="106">
        <f t="shared" si="93"/>
        <v>8.34149659863946</v>
      </c>
      <c r="AA143" s="106">
        <f t="shared" si="94"/>
        <v>5.6678915140794</v>
      </c>
      <c r="AB143" s="106">
        <v>0</v>
      </c>
      <c r="AC143" s="106">
        <f t="shared" si="95"/>
        <v>0.321249942153732</v>
      </c>
      <c r="AD143" s="107">
        <f t="shared" si="96"/>
        <v>0.321249942153732</v>
      </c>
      <c r="AE143" s="105">
        <f t="shared" si="97"/>
        <v>9.17460317460317</v>
      </c>
      <c r="AF143" s="106">
        <f t="shared" si="98"/>
        <v>5.6678915140794</v>
      </c>
      <c r="AG143" s="106">
        <f t="shared" si="87"/>
        <v>0.208812462399926</v>
      </c>
      <c r="AH143" s="106">
        <f t="shared" si="88"/>
        <v>-0.21547853911256</v>
      </c>
      <c r="AI143" s="107">
        <f t="shared" si="99"/>
        <v>-0.006666076712634</v>
      </c>
      <c r="AJ143" s="105">
        <f t="shared" si="100"/>
        <v>2.26666666666667</v>
      </c>
      <c r="AK143" s="106">
        <f t="shared" si="101"/>
        <v>4.35008720546157</v>
      </c>
      <c r="AL143" s="106">
        <f t="shared" si="102"/>
        <v>0.736666666666667</v>
      </c>
      <c r="AM143" s="106">
        <f t="shared" si="89"/>
        <v>0</v>
      </c>
      <c r="AN143" s="107">
        <f t="shared" si="103"/>
        <v>0.736666666666667</v>
      </c>
      <c r="AO143" s="105">
        <f t="shared" si="90"/>
        <v>0.321249942153732</v>
      </c>
      <c r="AP143" s="106">
        <f t="shared" si="91"/>
        <v>0.1512</v>
      </c>
      <c r="AQ143" s="107">
        <f t="shared" si="104"/>
        <v>0.0132</v>
      </c>
      <c r="AR143" s="105">
        <f t="shared" si="105"/>
        <v>1.21565053210776</v>
      </c>
      <c r="AS143" s="106">
        <f t="shared" si="106"/>
        <v>22.6666666666667</v>
      </c>
      <c r="AT143" s="107">
        <f t="shared" si="107"/>
        <v>94.9098300554766</v>
      </c>
    </row>
    <row r="144" spans="17:46">
      <c r="Q144">
        <v>137</v>
      </c>
      <c r="R144" s="105">
        <f t="shared" si="80"/>
        <v>10</v>
      </c>
      <c r="S144" s="106">
        <f t="shared" si="81"/>
        <v>2.28333333333333</v>
      </c>
      <c r="T144" s="106">
        <f t="shared" si="82"/>
        <v>4</v>
      </c>
      <c r="U144" s="107">
        <f t="shared" si="83"/>
        <v>5.70833333333333</v>
      </c>
      <c r="V144" s="105">
        <f t="shared" si="84"/>
        <v>2</v>
      </c>
      <c r="W144" s="106">
        <f t="shared" si="85"/>
        <v>0.714285714285714</v>
      </c>
      <c r="X144" s="107">
        <f t="shared" si="86"/>
        <v>0.285714285714286</v>
      </c>
      <c r="Y144" s="105">
        <f t="shared" si="92"/>
        <v>0.408163265306122</v>
      </c>
      <c r="Z144" s="106">
        <f t="shared" si="93"/>
        <v>8.39982993197279</v>
      </c>
      <c r="AA144" s="106">
        <f t="shared" si="94"/>
        <v>5.70954924216497</v>
      </c>
      <c r="AB144" s="106">
        <v>0</v>
      </c>
      <c r="AC144" s="106">
        <f t="shared" si="95"/>
        <v>0.325989525487066</v>
      </c>
      <c r="AD144" s="107">
        <f t="shared" si="96"/>
        <v>0.325989525487066</v>
      </c>
      <c r="AE144" s="105">
        <f t="shared" si="97"/>
        <v>9.31001984126984</v>
      </c>
      <c r="AF144" s="106">
        <f t="shared" si="98"/>
        <v>5.70954924216497</v>
      </c>
      <c r="AG144" s="106">
        <f t="shared" si="87"/>
        <v>0.211893191566593</v>
      </c>
      <c r="AH144" s="106">
        <f t="shared" si="88"/>
        <v>-0.217062940135446</v>
      </c>
      <c r="AI144" s="107">
        <f t="shared" si="99"/>
        <v>-0.00516974856885377</v>
      </c>
      <c r="AJ144" s="105">
        <f t="shared" si="100"/>
        <v>2.28333333333333</v>
      </c>
      <c r="AK144" s="106">
        <f t="shared" si="101"/>
        <v>4.38126443882078</v>
      </c>
      <c r="AL144" s="106">
        <f t="shared" si="102"/>
        <v>0.742083333333333</v>
      </c>
      <c r="AM144" s="106">
        <f t="shared" si="89"/>
        <v>0</v>
      </c>
      <c r="AN144" s="107">
        <f t="shared" si="103"/>
        <v>0.742083333333333</v>
      </c>
      <c r="AO144" s="105">
        <f t="shared" si="90"/>
        <v>0.325989525487066</v>
      </c>
      <c r="AP144" s="106">
        <f t="shared" si="91"/>
        <v>0.1512</v>
      </c>
      <c r="AQ144" s="107">
        <f t="shared" si="104"/>
        <v>0.0132</v>
      </c>
      <c r="AR144" s="105">
        <f t="shared" si="105"/>
        <v>1.22730311025155</v>
      </c>
      <c r="AS144" s="106">
        <f t="shared" si="106"/>
        <v>22.8333333333333</v>
      </c>
      <c r="AT144" s="107">
        <f t="shared" si="107"/>
        <v>94.8991244968552</v>
      </c>
    </row>
    <row r="145" spans="17:46">
      <c r="Q145">
        <v>138</v>
      </c>
      <c r="R145" s="105">
        <f t="shared" si="80"/>
        <v>10</v>
      </c>
      <c r="S145" s="106">
        <f t="shared" si="81"/>
        <v>2.3</v>
      </c>
      <c r="T145" s="106">
        <f t="shared" si="82"/>
        <v>4</v>
      </c>
      <c r="U145" s="107">
        <f t="shared" si="83"/>
        <v>5.75</v>
      </c>
      <c r="V145" s="105">
        <f t="shared" si="84"/>
        <v>2</v>
      </c>
      <c r="W145" s="106">
        <f t="shared" si="85"/>
        <v>0.714285714285714</v>
      </c>
      <c r="X145" s="107">
        <f t="shared" si="86"/>
        <v>0.285714285714286</v>
      </c>
      <c r="Y145" s="105">
        <f t="shared" si="92"/>
        <v>0.408163265306122</v>
      </c>
      <c r="Z145" s="106">
        <f t="shared" si="93"/>
        <v>8.45816326530612</v>
      </c>
      <c r="AA145" s="106">
        <f t="shared" si="94"/>
        <v>5.75120709975411</v>
      </c>
      <c r="AB145" s="106">
        <v>0</v>
      </c>
      <c r="AC145" s="106">
        <f t="shared" si="95"/>
        <v>0.330763831042621</v>
      </c>
      <c r="AD145" s="107">
        <f t="shared" si="96"/>
        <v>0.330763831042621</v>
      </c>
      <c r="AE145" s="105">
        <f t="shared" si="97"/>
        <v>9.44642857142857</v>
      </c>
      <c r="AF145" s="106">
        <f t="shared" si="98"/>
        <v>5.75120709975411</v>
      </c>
      <c r="AG145" s="106">
        <f t="shared" si="87"/>
        <v>0.214996490177704</v>
      </c>
      <c r="AH145" s="106">
        <f t="shared" si="88"/>
        <v>-0.218647341158333</v>
      </c>
      <c r="AI145" s="107">
        <f t="shared" si="99"/>
        <v>-0.00365085098062923</v>
      </c>
      <c r="AJ145" s="105">
        <f t="shared" si="100"/>
        <v>2.3</v>
      </c>
      <c r="AK145" s="106">
        <f t="shared" si="101"/>
        <v>4.4124417180372</v>
      </c>
      <c r="AL145" s="106">
        <f t="shared" si="102"/>
        <v>0.7475</v>
      </c>
      <c r="AM145" s="106">
        <f t="shared" si="89"/>
        <v>0</v>
      </c>
      <c r="AN145" s="107">
        <f t="shared" si="103"/>
        <v>0.7475</v>
      </c>
      <c r="AO145" s="105">
        <f t="shared" si="90"/>
        <v>0.330763831042621</v>
      </c>
      <c r="AP145" s="106">
        <f t="shared" si="91"/>
        <v>0.1512</v>
      </c>
      <c r="AQ145" s="107">
        <f t="shared" si="104"/>
        <v>0.0132</v>
      </c>
      <c r="AR145" s="105">
        <f t="shared" si="105"/>
        <v>1.23901298006199</v>
      </c>
      <c r="AS145" s="106">
        <f t="shared" si="106"/>
        <v>23</v>
      </c>
      <c r="AT145" s="107">
        <f t="shared" si="107"/>
        <v>94.888352173906</v>
      </c>
    </row>
    <row r="146" spans="17:46">
      <c r="Q146">
        <v>139</v>
      </c>
      <c r="R146" s="105">
        <f t="shared" si="80"/>
        <v>10</v>
      </c>
      <c r="S146" s="106">
        <f t="shared" si="81"/>
        <v>2.31666666666667</v>
      </c>
      <c r="T146" s="106">
        <f t="shared" si="82"/>
        <v>4</v>
      </c>
      <c r="U146" s="107">
        <f t="shared" si="83"/>
        <v>5.79166666666667</v>
      </c>
      <c r="V146" s="105">
        <f t="shared" si="84"/>
        <v>2</v>
      </c>
      <c r="W146" s="106">
        <f t="shared" si="85"/>
        <v>0.714285714285714</v>
      </c>
      <c r="X146" s="107">
        <f t="shared" si="86"/>
        <v>0.285714285714286</v>
      </c>
      <c r="Y146" s="105">
        <f t="shared" si="92"/>
        <v>0.408163265306122</v>
      </c>
      <c r="Z146" s="106">
        <f t="shared" si="93"/>
        <v>8.51649659863945</v>
      </c>
      <c r="AA146" s="106">
        <f t="shared" si="94"/>
        <v>5.79286508405296</v>
      </c>
      <c r="AB146" s="106">
        <v>0</v>
      </c>
      <c r="AC146" s="106">
        <f t="shared" si="95"/>
        <v>0.335572858820399</v>
      </c>
      <c r="AD146" s="107">
        <f t="shared" si="96"/>
        <v>0.335572858820399</v>
      </c>
      <c r="AE146" s="105">
        <f t="shared" si="97"/>
        <v>9.58382936507936</v>
      </c>
      <c r="AF146" s="106">
        <f t="shared" si="98"/>
        <v>5.79286508405296</v>
      </c>
      <c r="AG146" s="106">
        <f t="shared" si="87"/>
        <v>0.218122358233259</v>
      </c>
      <c r="AH146" s="106">
        <f t="shared" si="88"/>
        <v>-0.220231742181219</v>
      </c>
      <c r="AI146" s="107">
        <f t="shared" si="99"/>
        <v>-0.00210938394796012</v>
      </c>
      <c r="AJ146" s="105">
        <f t="shared" si="100"/>
        <v>2.31666666666667</v>
      </c>
      <c r="AK146" s="106">
        <f t="shared" si="101"/>
        <v>4.44361904214561</v>
      </c>
      <c r="AL146" s="106">
        <f t="shared" si="102"/>
        <v>0.752916666666667</v>
      </c>
      <c r="AM146" s="106">
        <f t="shared" si="89"/>
        <v>0</v>
      </c>
      <c r="AN146" s="107">
        <f t="shared" si="103"/>
        <v>0.752916666666667</v>
      </c>
      <c r="AO146" s="105">
        <f t="shared" si="90"/>
        <v>0.335572858820399</v>
      </c>
      <c r="AP146" s="106">
        <f t="shared" si="91"/>
        <v>0.1512</v>
      </c>
      <c r="AQ146" s="107">
        <f t="shared" si="104"/>
        <v>0.0132</v>
      </c>
      <c r="AR146" s="105">
        <f t="shared" si="105"/>
        <v>1.25078014153911</v>
      </c>
      <c r="AS146" s="106">
        <f t="shared" si="106"/>
        <v>23.1666666666667</v>
      </c>
      <c r="AT146" s="107">
        <f t="shared" si="107"/>
        <v>94.8775146256538</v>
      </c>
    </row>
    <row r="147" spans="17:46">
      <c r="Q147">
        <v>140</v>
      </c>
      <c r="R147" s="105">
        <f t="shared" si="80"/>
        <v>10</v>
      </c>
      <c r="S147" s="106">
        <f t="shared" si="81"/>
        <v>2.33333333333333</v>
      </c>
      <c r="T147" s="106">
        <f t="shared" si="82"/>
        <v>4</v>
      </c>
      <c r="U147" s="107">
        <f t="shared" si="83"/>
        <v>5.83333333333333</v>
      </c>
      <c r="V147" s="105">
        <f t="shared" si="84"/>
        <v>2</v>
      </c>
      <c r="W147" s="106">
        <f t="shared" si="85"/>
        <v>0.714285714285714</v>
      </c>
      <c r="X147" s="107">
        <f t="shared" si="86"/>
        <v>0.285714285714286</v>
      </c>
      <c r="Y147" s="105">
        <f t="shared" si="92"/>
        <v>0.408163265306122</v>
      </c>
      <c r="Z147" s="106">
        <f t="shared" si="93"/>
        <v>8.57482993197279</v>
      </c>
      <c r="AA147" s="106">
        <f t="shared" si="94"/>
        <v>5.83452319234742</v>
      </c>
      <c r="AB147" s="106">
        <v>0</v>
      </c>
      <c r="AC147" s="106">
        <f t="shared" si="95"/>
        <v>0.340416608820399</v>
      </c>
      <c r="AD147" s="107">
        <f t="shared" si="96"/>
        <v>0.340416608820399</v>
      </c>
      <c r="AE147" s="105">
        <f t="shared" si="97"/>
        <v>9.72222222222222</v>
      </c>
      <c r="AF147" s="106">
        <f t="shared" si="98"/>
        <v>5.83452319234742</v>
      </c>
      <c r="AG147" s="106">
        <f t="shared" si="87"/>
        <v>0.221270795733259</v>
      </c>
      <c r="AH147" s="106">
        <f t="shared" si="88"/>
        <v>-0.221816143204106</v>
      </c>
      <c r="AI147" s="107">
        <f t="shared" si="99"/>
        <v>-0.000545347470846613</v>
      </c>
      <c r="AJ147" s="105">
        <f t="shared" si="100"/>
        <v>2.33333333333333</v>
      </c>
      <c r="AK147" s="106">
        <f t="shared" si="101"/>
        <v>4.47479641020768</v>
      </c>
      <c r="AL147" s="106">
        <f t="shared" si="102"/>
        <v>0.758333333333333</v>
      </c>
      <c r="AM147" s="106">
        <f t="shared" si="89"/>
        <v>0</v>
      </c>
      <c r="AN147" s="107">
        <f t="shared" si="103"/>
        <v>0.758333333333333</v>
      </c>
      <c r="AO147" s="105">
        <f t="shared" si="90"/>
        <v>0.340416608820399</v>
      </c>
      <c r="AP147" s="106">
        <f t="shared" si="91"/>
        <v>0.1512</v>
      </c>
      <c r="AQ147" s="107">
        <f t="shared" si="104"/>
        <v>0.0132</v>
      </c>
      <c r="AR147" s="105">
        <f t="shared" si="105"/>
        <v>1.26260459468289</v>
      </c>
      <c r="AS147" s="106">
        <f t="shared" si="106"/>
        <v>23.3333333333333</v>
      </c>
      <c r="AT147" s="107">
        <f t="shared" si="107"/>
        <v>94.8666133473824</v>
      </c>
    </row>
    <row r="148" spans="17:46">
      <c r="Q148">
        <v>141</v>
      </c>
      <c r="R148" s="105">
        <f t="shared" si="80"/>
        <v>10</v>
      </c>
      <c r="S148" s="106">
        <f t="shared" si="81"/>
        <v>2.35</v>
      </c>
      <c r="T148" s="106">
        <f t="shared" si="82"/>
        <v>4</v>
      </c>
      <c r="U148" s="107">
        <f t="shared" si="83"/>
        <v>5.875</v>
      </c>
      <c r="V148" s="105">
        <f t="shared" si="84"/>
        <v>2</v>
      </c>
      <c r="W148" s="106">
        <f t="shared" si="85"/>
        <v>0.714285714285714</v>
      </c>
      <c r="X148" s="107">
        <f t="shared" si="86"/>
        <v>0.285714285714286</v>
      </c>
      <c r="Y148" s="105">
        <f t="shared" si="92"/>
        <v>0.408163265306122</v>
      </c>
      <c r="Z148" s="106">
        <f t="shared" si="93"/>
        <v>8.63316326530612</v>
      </c>
      <c r="AA148" s="106">
        <f t="shared" si="94"/>
        <v>5.87618142200035</v>
      </c>
      <c r="AB148" s="106">
        <v>0</v>
      </c>
      <c r="AC148" s="106">
        <f t="shared" si="95"/>
        <v>0.345295081042621</v>
      </c>
      <c r="AD148" s="107">
        <f t="shared" si="96"/>
        <v>0.345295081042621</v>
      </c>
      <c r="AE148" s="105">
        <f t="shared" si="97"/>
        <v>9.86160714285714</v>
      </c>
      <c r="AF148" s="106">
        <f t="shared" si="98"/>
        <v>5.87618142200035</v>
      </c>
      <c r="AG148" s="106">
        <f t="shared" si="87"/>
        <v>0.224441802677704</v>
      </c>
      <c r="AH148" s="106">
        <f t="shared" si="88"/>
        <v>-0.223400544226992</v>
      </c>
      <c r="AI148" s="107">
        <f t="shared" si="99"/>
        <v>0.00104125845071137</v>
      </c>
      <c r="AJ148" s="105">
        <f t="shared" si="100"/>
        <v>2.35</v>
      </c>
      <c r="AK148" s="106">
        <f t="shared" si="101"/>
        <v>4.50597382131104</v>
      </c>
      <c r="AL148" s="106">
        <f t="shared" si="102"/>
        <v>0.76375</v>
      </c>
      <c r="AM148" s="106">
        <f t="shared" si="89"/>
        <v>0</v>
      </c>
      <c r="AN148" s="107">
        <f t="shared" si="103"/>
        <v>0.76375</v>
      </c>
      <c r="AO148" s="105">
        <f t="shared" si="90"/>
        <v>0.345295081042621</v>
      </c>
      <c r="AP148" s="106">
        <f t="shared" si="91"/>
        <v>0.1512</v>
      </c>
      <c r="AQ148" s="107">
        <f t="shared" si="104"/>
        <v>0.0132</v>
      </c>
      <c r="AR148" s="105">
        <f t="shared" si="105"/>
        <v>1.27448633949333</v>
      </c>
      <c r="AS148" s="106">
        <f t="shared" si="106"/>
        <v>23.5</v>
      </c>
      <c r="AT148" s="107">
        <f t="shared" si="107"/>
        <v>94.8556497921749</v>
      </c>
    </row>
    <row r="149" spans="17:46">
      <c r="Q149">
        <v>142</v>
      </c>
      <c r="R149" s="105">
        <f t="shared" si="80"/>
        <v>10</v>
      </c>
      <c r="S149" s="106">
        <f t="shared" si="81"/>
        <v>2.36666666666667</v>
      </c>
      <c r="T149" s="106">
        <f t="shared" si="82"/>
        <v>4</v>
      </c>
      <c r="U149" s="107">
        <f t="shared" si="83"/>
        <v>5.91666666666667</v>
      </c>
      <c r="V149" s="105">
        <f t="shared" si="84"/>
        <v>2</v>
      </c>
      <c r="W149" s="106">
        <f t="shared" si="85"/>
        <v>0.714285714285714</v>
      </c>
      <c r="X149" s="107">
        <f t="shared" si="86"/>
        <v>0.285714285714286</v>
      </c>
      <c r="Y149" s="105">
        <f t="shared" si="92"/>
        <v>0.408163265306122</v>
      </c>
      <c r="Z149" s="106">
        <f t="shared" si="93"/>
        <v>8.69149659863946</v>
      </c>
      <c r="AA149" s="106">
        <f t="shared" si="94"/>
        <v>5.91783977044889</v>
      </c>
      <c r="AB149" s="106">
        <v>0</v>
      </c>
      <c r="AC149" s="106">
        <f t="shared" si="95"/>
        <v>0.350208275487066</v>
      </c>
      <c r="AD149" s="107">
        <f t="shared" si="96"/>
        <v>0.350208275487066</v>
      </c>
      <c r="AE149" s="105">
        <f t="shared" si="97"/>
        <v>10.0019841269841</v>
      </c>
      <c r="AF149" s="106">
        <f t="shared" si="98"/>
        <v>5.91783977044889</v>
      </c>
      <c r="AG149" s="106">
        <f t="shared" si="87"/>
        <v>0.227635379066593</v>
      </c>
      <c r="AH149" s="106">
        <f t="shared" si="88"/>
        <v>-0.224984945249879</v>
      </c>
      <c r="AI149" s="107">
        <f t="shared" si="99"/>
        <v>0.00265043381671384</v>
      </c>
      <c r="AJ149" s="105">
        <f t="shared" si="100"/>
        <v>2.36666666666667</v>
      </c>
      <c r="AK149" s="106">
        <f t="shared" si="101"/>
        <v>4.5371512745684</v>
      </c>
      <c r="AL149" s="106">
        <f t="shared" si="102"/>
        <v>0.769166666666667</v>
      </c>
      <c r="AM149" s="106">
        <f t="shared" si="89"/>
        <v>0</v>
      </c>
      <c r="AN149" s="107">
        <f t="shared" si="103"/>
        <v>0.769166666666667</v>
      </c>
      <c r="AO149" s="105">
        <f t="shared" si="90"/>
        <v>0.350208275487066</v>
      </c>
      <c r="AP149" s="106">
        <f t="shared" si="91"/>
        <v>0.1512</v>
      </c>
      <c r="AQ149" s="107">
        <f t="shared" si="104"/>
        <v>0.0132</v>
      </c>
      <c r="AR149" s="105">
        <f t="shared" si="105"/>
        <v>1.28642537597045</v>
      </c>
      <c r="AS149" s="106">
        <f t="shared" si="106"/>
        <v>23.6666666666667</v>
      </c>
      <c r="AT149" s="107">
        <f t="shared" si="107"/>
        <v>94.8446253723894</v>
      </c>
    </row>
    <row r="150" spans="17:46">
      <c r="Q150">
        <v>143</v>
      </c>
      <c r="R150" s="105">
        <f t="shared" si="80"/>
        <v>10</v>
      </c>
      <c r="S150" s="106">
        <f t="shared" si="81"/>
        <v>2.38333333333333</v>
      </c>
      <c r="T150" s="106">
        <f t="shared" si="82"/>
        <v>4</v>
      </c>
      <c r="U150" s="107">
        <f t="shared" si="83"/>
        <v>5.95833333333333</v>
      </c>
      <c r="V150" s="105">
        <f t="shared" si="84"/>
        <v>2</v>
      </c>
      <c r="W150" s="106">
        <f t="shared" si="85"/>
        <v>0.714285714285714</v>
      </c>
      <c r="X150" s="107">
        <f t="shared" si="86"/>
        <v>0.285714285714286</v>
      </c>
      <c r="Y150" s="105">
        <f t="shared" si="92"/>
        <v>0.408163265306122</v>
      </c>
      <c r="Z150" s="106">
        <f t="shared" si="93"/>
        <v>8.74982993197279</v>
      </c>
      <c r="AA150" s="106">
        <f t="shared" si="94"/>
        <v>5.95949823520179</v>
      </c>
      <c r="AB150" s="106">
        <v>0</v>
      </c>
      <c r="AC150" s="106">
        <f t="shared" si="95"/>
        <v>0.355156192153732</v>
      </c>
      <c r="AD150" s="107">
        <f t="shared" si="96"/>
        <v>0.355156192153732</v>
      </c>
      <c r="AE150" s="105">
        <f t="shared" si="97"/>
        <v>10.1433531746032</v>
      </c>
      <c r="AF150" s="106">
        <f t="shared" si="98"/>
        <v>5.95949823520179</v>
      </c>
      <c r="AG150" s="106">
        <f t="shared" si="87"/>
        <v>0.230851524899926</v>
      </c>
      <c r="AH150" s="106">
        <f t="shared" si="88"/>
        <v>-0.226569346272765</v>
      </c>
      <c r="AI150" s="107">
        <f t="shared" si="99"/>
        <v>0.00428217862716065</v>
      </c>
      <c r="AJ150" s="105">
        <f t="shared" si="100"/>
        <v>2.38333333333333</v>
      </c>
      <c r="AK150" s="106">
        <f t="shared" si="101"/>
        <v>4.56832876911672</v>
      </c>
      <c r="AL150" s="106">
        <f t="shared" si="102"/>
        <v>0.774583333333333</v>
      </c>
      <c r="AM150" s="106">
        <f t="shared" si="89"/>
        <v>0</v>
      </c>
      <c r="AN150" s="107">
        <f t="shared" si="103"/>
        <v>0.774583333333333</v>
      </c>
      <c r="AO150" s="105">
        <f t="shared" si="90"/>
        <v>0.355156192153732</v>
      </c>
      <c r="AP150" s="106">
        <f t="shared" si="91"/>
        <v>0.1512</v>
      </c>
      <c r="AQ150" s="107">
        <f t="shared" si="104"/>
        <v>0.0132</v>
      </c>
      <c r="AR150" s="105">
        <f t="shared" si="105"/>
        <v>1.29842170411423</v>
      </c>
      <c r="AS150" s="106">
        <f t="shared" si="106"/>
        <v>23.8333333333333</v>
      </c>
      <c r="AT150" s="107">
        <f t="shared" si="107"/>
        <v>94.8335414610738</v>
      </c>
    </row>
    <row r="151" spans="17:46">
      <c r="Q151">
        <v>144</v>
      </c>
      <c r="R151" s="105">
        <f t="shared" si="80"/>
        <v>10</v>
      </c>
      <c r="S151" s="106">
        <f t="shared" si="81"/>
        <v>2.4</v>
      </c>
      <c r="T151" s="106">
        <f t="shared" si="82"/>
        <v>4</v>
      </c>
      <c r="U151" s="107">
        <f t="shared" si="83"/>
        <v>6</v>
      </c>
      <c r="V151" s="105">
        <f t="shared" si="84"/>
        <v>2</v>
      </c>
      <c r="W151" s="106">
        <f t="shared" si="85"/>
        <v>0.714285714285714</v>
      </c>
      <c r="X151" s="107">
        <f t="shared" si="86"/>
        <v>0.285714285714286</v>
      </c>
      <c r="Y151" s="105">
        <f t="shared" si="92"/>
        <v>0.408163265306122</v>
      </c>
      <c r="Z151" s="106">
        <f t="shared" si="93"/>
        <v>8.80816326530612</v>
      </c>
      <c r="AA151" s="106">
        <f t="shared" si="94"/>
        <v>6.00115681383699</v>
      </c>
      <c r="AB151" s="106">
        <v>0</v>
      </c>
      <c r="AC151" s="106">
        <f t="shared" si="95"/>
        <v>0.360138831042621</v>
      </c>
      <c r="AD151" s="107">
        <f t="shared" si="96"/>
        <v>0.360138831042621</v>
      </c>
      <c r="AE151" s="105">
        <f t="shared" si="97"/>
        <v>10.2857142857143</v>
      </c>
      <c r="AF151" s="106">
        <f t="shared" si="98"/>
        <v>6.00115681383699</v>
      </c>
      <c r="AG151" s="106">
        <f t="shared" si="87"/>
        <v>0.234090240177704</v>
      </c>
      <c r="AH151" s="106">
        <f t="shared" si="88"/>
        <v>-0.228153747295652</v>
      </c>
      <c r="AI151" s="107">
        <f t="shared" si="99"/>
        <v>0.00593649288205195</v>
      </c>
      <c r="AJ151" s="105">
        <f t="shared" si="100"/>
        <v>2.4</v>
      </c>
      <c r="AK151" s="106">
        <f t="shared" si="101"/>
        <v>4.59950630411631</v>
      </c>
      <c r="AL151" s="106">
        <f t="shared" si="102"/>
        <v>0.78</v>
      </c>
      <c r="AM151" s="106">
        <f t="shared" si="89"/>
        <v>0</v>
      </c>
      <c r="AN151" s="107">
        <f t="shared" si="103"/>
        <v>0.78</v>
      </c>
      <c r="AO151" s="105">
        <f t="shared" si="90"/>
        <v>0.360138831042621</v>
      </c>
      <c r="AP151" s="106">
        <f t="shared" si="91"/>
        <v>0.1512</v>
      </c>
      <c r="AQ151" s="107">
        <f t="shared" si="104"/>
        <v>0.0132</v>
      </c>
      <c r="AR151" s="105">
        <f t="shared" si="105"/>
        <v>1.31047532392467</v>
      </c>
      <c r="AS151" s="106">
        <f t="shared" si="106"/>
        <v>24</v>
      </c>
      <c r="AT151" s="107">
        <f t="shared" si="107"/>
        <v>94.8223993933217</v>
      </c>
    </row>
    <row r="152" spans="17:46">
      <c r="Q152">
        <v>145</v>
      </c>
      <c r="R152" s="105">
        <f t="shared" si="80"/>
        <v>10</v>
      </c>
      <c r="S152" s="106">
        <f t="shared" si="81"/>
        <v>2.41666666666667</v>
      </c>
      <c r="T152" s="106">
        <f t="shared" si="82"/>
        <v>4</v>
      </c>
      <c r="U152" s="107">
        <f t="shared" si="83"/>
        <v>6.04166666666667</v>
      </c>
      <c r="V152" s="105">
        <f t="shared" si="84"/>
        <v>2</v>
      </c>
      <c r="W152" s="106">
        <f t="shared" si="85"/>
        <v>0.714285714285714</v>
      </c>
      <c r="X152" s="107">
        <f t="shared" si="86"/>
        <v>0.285714285714286</v>
      </c>
      <c r="Y152" s="105">
        <f t="shared" si="92"/>
        <v>0.408163265306122</v>
      </c>
      <c r="Z152" s="106">
        <f t="shared" si="93"/>
        <v>8.86649659863945</v>
      </c>
      <c r="AA152" s="106">
        <f t="shared" si="94"/>
        <v>6.04281550399921</v>
      </c>
      <c r="AB152" s="106">
        <v>0</v>
      </c>
      <c r="AC152" s="106">
        <f t="shared" si="95"/>
        <v>0.365156192153732</v>
      </c>
      <c r="AD152" s="107">
        <f t="shared" si="96"/>
        <v>0.365156192153732</v>
      </c>
      <c r="AE152" s="105">
        <f t="shared" si="97"/>
        <v>10.4290674603175</v>
      </c>
      <c r="AF152" s="106">
        <f t="shared" si="98"/>
        <v>6.04281550399921</v>
      </c>
      <c r="AG152" s="106">
        <f t="shared" si="87"/>
        <v>0.237351524899926</v>
      </c>
      <c r="AH152" s="106">
        <f t="shared" si="88"/>
        <v>-0.229738148318538</v>
      </c>
      <c r="AI152" s="107">
        <f t="shared" si="99"/>
        <v>0.00761337658138775</v>
      </c>
      <c r="AJ152" s="105">
        <f t="shared" si="100"/>
        <v>2.41666666666667</v>
      </c>
      <c r="AK152" s="106">
        <f t="shared" si="101"/>
        <v>4.63068387875013</v>
      </c>
      <c r="AL152" s="106">
        <f t="shared" si="102"/>
        <v>0.785416666666667</v>
      </c>
      <c r="AM152" s="106">
        <f t="shared" si="89"/>
        <v>0</v>
      </c>
      <c r="AN152" s="107">
        <f t="shared" si="103"/>
        <v>0.785416666666667</v>
      </c>
      <c r="AO152" s="105">
        <f t="shared" si="90"/>
        <v>0.365156192153732</v>
      </c>
      <c r="AP152" s="106">
        <f t="shared" si="91"/>
        <v>0.1512</v>
      </c>
      <c r="AQ152" s="107">
        <f t="shared" si="104"/>
        <v>0.0132</v>
      </c>
      <c r="AR152" s="105">
        <f t="shared" si="105"/>
        <v>1.32258623540179</v>
      </c>
      <c r="AS152" s="106">
        <f t="shared" si="106"/>
        <v>24.1666666666667</v>
      </c>
      <c r="AT152" s="107">
        <f t="shared" si="107"/>
        <v>94.8112004675725</v>
      </c>
    </row>
    <row r="153" spans="17:46">
      <c r="Q153">
        <v>146</v>
      </c>
      <c r="R153" s="105">
        <f t="shared" si="80"/>
        <v>10</v>
      </c>
      <c r="S153" s="106">
        <f t="shared" si="81"/>
        <v>2.43333333333333</v>
      </c>
      <c r="T153" s="106">
        <f t="shared" si="82"/>
        <v>4</v>
      </c>
      <c r="U153" s="107">
        <f t="shared" si="83"/>
        <v>6.08333333333333</v>
      </c>
      <c r="V153" s="105">
        <f t="shared" si="84"/>
        <v>2</v>
      </c>
      <c r="W153" s="106">
        <f t="shared" si="85"/>
        <v>0.714285714285714</v>
      </c>
      <c r="X153" s="107">
        <f t="shared" si="86"/>
        <v>0.285714285714286</v>
      </c>
      <c r="Y153" s="105">
        <f t="shared" si="92"/>
        <v>0.408163265306122</v>
      </c>
      <c r="Z153" s="106">
        <f t="shared" si="93"/>
        <v>8.92482993197279</v>
      </c>
      <c r="AA153" s="106">
        <f t="shared" si="94"/>
        <v>6.08447430339767</v>
      </c>
      <c r="AB153" s="106">
        <v>0</v>
      </c>
      <c r="AC153" s="106">
        <f t="shared" si="95"/>
        <v>0.370208275487066</v>
      </c>
      <c r="AD153" s="107">
        <f t="shared" si="96"/>
        <v>0.370208275487066</v>
      </c>
      <c r="AE153" s="105">
        <f t="shared" si="97"/>
        <v>10.5734126984127</v>
      </c>
      <c r="AF153" s="106">
        <f t="shared" si="98"/>
        <v>6.08447430339767</v>
      </c>
      <c r="AG153" s="106">
        <f t="shared" si="87"/>
        <v>0.240635379066593</v>
      </c>
      <c r="AH153" s="106">
        <f t="shared" si="88"/>
        <v>-0.231322549341425</v>
      </c>
      <c r="AI153" s="107">
        <f t="shared" si="99"/>
        <v>0.00931282972516795</v>
      </c>
      <c r="AJ153" s="105">
        <f t="shared" si="100"/>
        <v>2.43333333333333</v>
      </c>
      <c r="AK153" s="106">
        <f t="shared" si="101"/>
        <v>4.66186149222298</v>
      </c>
      <c r="AL153" s="106">
        <f t="shared" si="102"/>
        <v>0.790833333333333</v>
      </c>
      <c r="AM153" s="106">
        <f t="shared" si="89"/>
        <v>0</v>
      </c>
      <c r="AN153" s="107">
        <f t="shared" si="103"/>
        <v>0.790833333333333</v>
      </c>
      <c r="AO153" s="105">
        <f t="shared" si="90"/>
        <v>0.370208275487066</v>
      </c>
      <c r="AP153" s="106">
        <f t="shared" si="91"/>
        <v>0.1512</v>
      </c>
      <c r="AQ153" s="107">
        <f t="shared" si="104"/>
        <v>0.0132</v>
      </c>
      <c r="AR153" s="105">
        <f t="shared" si="105"/>
        <v>1.33475443854557</v>
      </c>
      <c r="AS153" s="106">
        <f t="shared" si="106"/>
        <v>24.3333333333333</v>
      </c>
      <c r="AT153" s="107">
        <f t="shared" si="107"/>
        <v>94.7999459468583</v>
      </c>
    </row>
    <row r="154" spans="17:46">
      <c r="Q154">
        <v>147</v>
      </c>
      <c r="R154" s="105">
        <f t="shared" si="80"/>
        <v>10</v>
      </c>
      <c r="S154" s="106">
        <f t="shared" si="81"/>
        <v>2.45</v>
      </c>
      <c r="T154" s="106">
        <f t="shared" si="82"/>
        <v>4</v>
      </c>
      <c r="U154" s="107">
        <f t="shared" si="83"/>
        <v>6.125</v>
      </c>
      <c r="V154" s="105">
        <f t="shared" si="84"/>
        <v>2</v>
      </c>
      <c r="W154" s="106">
        <f t="shared" si="85"/>
        <v>0.714285714285714</v>
      </c>
      <c r="X154" s="107">
        <f t="shared" si="86"/>
        <v>0.285714285714286</v>
      </c>
      <c r="Y154" s="105">
        <f t="shared" si="92"/>
        <v>0.408163265306122</v>
      </c>
      <c r="Z154" s="106">
        <f t="shared" si="93"/>
        <v>8.98316326530612</v>
      </c>
      <c r="AA154" s="106">
        <f t="shared" si="94"/>
        <v>6.12613320980389</v>
      </c>
      <c r="AB154" s="106">
        <v>0</v>
      </c>
      <c r="AC154" s="106">
        <f t="shared" si="95"/>
        <v>0.375295081042621</v>
      </c>
      <c r="AD154" s="107">
        <f t="shared" si="96"/>
        <v>0.375295081042621</v>
      </c>
      <c r="AE154" s="105">
        <f t="shared" si="97"/>
        <v>10.71875</v>
      </c>
      <c r="AF154" s="106">
        <f t="shared" si="98"/>
        <v>6.12613320980389</v>
      </c>
      <c r="AG154" s="106">
        <f t="shared" si="87"/>
        <v>0.243941802677704</v>
      </c>
      <c r="AH154" s="106">
        <f t="shared" si="88"/>
        <v>-0.232906950364311</v>
      </c>
      <c r="AI154" s="107">
        <f t="shared" si="99"/>
        <v>0.0110348523133926</v>
      </c>
      <c r="AJ154" s="105">
        <f t="shared" si="100"/>
        <v>2.45</v>
      </c>
      <c r="AK154" s="106">
        <f t="shared" si="101"/>
        <v>4.69303914376079</v>
      </c>
      <c r="AL154" s="106">
        <f t="shared" si="102"/>
        <v>0.79625</v>
      </c>
      <c r="AM154" s="106">
        <f t="shared" si="89"/>
        <v>0</v>
      </c>
      <c r="AN154" s="107">
        <f t="shared" si="103"/>
        <v>0.79625</v>
      </c>
      <c r="AO154" s="105">
        <f t="shared" si="90"/>
        <v>0.375295081042621</v>
      </c>
      <c r="AP154" s="106">
        <f t="shared" si="91"/>
        <v>0.1512</v>
      </c>
      <c r="AQ154" s="107">
        <f t="shared" si="104"/>
        <v>0.0132</v>
      </c>
      <c r="AR154" s="105">
        <f t="shared" si="105"/>
        <v>1.34697993335601</v>
      </c>
      <c r="AS154" s="106">
        <f t="shared" si="106"/>
        <v>24.5</v>
      </c>
      <c r="AT154" s="107">
        <f t="shared" si="107"/>
        <v>94.7886370600005</v>
      </c>
    </row>
    <row r="155" spans="17:46">
      <c r="Q155">
        <v>148</v>
      </c>
      <c r="R155" s="105">
        <f t="shared" si="80"/>
        <v>10</v>
      </c>
      <c r="S155" s="106">
        <f t="shared" si="81"/>
        <v>2.46666666666667</v>
      </c>
      <c r="T155" s="106">
        <f t="shared" si="82"/>
        <v>4</v>
      </c>
      <c r="U155" s="107">
        <f t="shared" si="83"/>
        <v>6.16666666666667</v>
      </c>
      <c r="V155" s="105">
        <f t="shared" si="84"/>
        <v>2</v>
      </c>
      <c r="W155" s="106">
        <f t="shared" si="85"/>
        <v>0.714285714285714</v>
      </c>
      <c r="X155" s="107">
        <f t="shared" si="86"/>
        <v>0.285714285714286</v>
      </c>
      <c r="Y155" s="105">
        <f t="shared" si="92"/>
        <v>0.408163265306122</v>
      </c>
      <c r="Z155" s="106">
        <f t="shared" si="93"/>
        <v>9.04149659863945</v>
      </c>
      <c r="AA155" s="106">
        <f t="shared" si="94"/>
        <v>6.1677922210496</v>
      </c>
      <c r="AB155" s="106">
        <v>0</v>
      </c>
      <c r="AC155" s="106">
        <f t="shared" si="95"/>
        <v>0.380416608820399</v>
      </c>
      <c r="AD155" s="107">
        <f t="shared" si="96"/>
        <v>0.380416608820399</v>
      </c>
      <c r="AE155" s="105">
        <f t="shared" si="97"/>
        <v>10.8650793650794</v>
      </c>
      <c r="AF155" s="106">
        <f t="shared" si="98"/>
        <v>6.1677922210496</v>
      </c>
      <c r="AG155" s="106">
        <f t="shared" si="87"/>
        <v>0.247270795733259</v>
      </c>
      <c r="AH155" s="106">
        <f t="shared" si="88"/>
        <v>-0.234491351387198</v>
      </c>
      <c r="AI155" s="107">
        <f t="shared" si="99"/>
        <v>0.0127794443460617</v>
      </c>
      <c r="AJ155" s="105">
        <f t="shared" si="100"/>
        <v>2.46666666666667</v>
      </c>
      <c r="AK155" s="106">
        <f t="shared" si="101"/>
        <v>4.72421683260993</v>
      </c>
      <c r="AL155" s="106">
        <f t="shared" si="102"/>
        <v>0.801666666666667</v>
      </c>
      <c r="AM155" s="106">
        <f t="shared" si="89"/>
        <v>0</v>
      </c>
      <c r="AN155" s="107">
        <f t="shared" si="103"/>
        <v>0.801666666666667</v>
      </c>
      <c r="AO155" s="105">
        <f t="shared" si="90"/>
        <v>0.380416608820399</v>
      </c>
      <c r="AP155" s="106">
        <f t="shared" si="91"/>
        <v>0.1512</v>
      </c>
      <c r="AQ155" s="107">
        <f t="shared" si="104"/>
        <v>0.0132</v>
      </c>
      <c r="AR155" s="105">
        <f t="shared" si="105"/>
        <v>1.35926271983313</v>
      </c>
      <c r="AS155" s="106">
        <f t="shared" si="106"/>
        <v>24.6666666666667</v>
      </c>
      <c r="AT155" s="107">
        <f t="shared" si="107"/>
        <v>94.7772750027586</v>
      </c>
    </row>
    <row r="156" spans="17:46">
      <c r="Q156">
        <v>149</v>
      </c>
      <c r="R156" s="105">
        <f t="shared" si="80"/>
        <v>10</v>
      </c>
      <c r="S156" s="106">
        <f t="shared" si="81"/>
        <v>2.48333333333333</v>
      </c>
      <c r="T156" s="106">
        <f t="shared" si="82"/>
        <v>4</v>
      </c>
      <c r="U156" s="107">
        <f t="shared" si="83"/>
        <v>6.20833333333333</v>
      </c>
      <c r="V156" s="105">
        <f t="shared" si="84"/>
        <v>2</v>
      </c>
      <c r="W156" s="106">
        <f t="shared" si="85"/>
        <v>0.714285714285714</v>
      </c>
      <c r="X156" s="107">
        <f t="shared" si="86"/>
        <v>0.285714285714286</v>
      </c>
      <c r="Y156" s="105">
        <f t="shared" si="92"/>
        <v>0.408163265306122</v>
      </c>
      <c r="Z156" s="106">
        <f t="shared" si="93"/>
        <v>9.09982993197279</v>
      </c>
      <c r="AA156" s="106">
        <f t="shared" si="94"/>
        <v>6.20945133502469</v>
      </c>
      <c r="AB156" s="106">
        <v>0</v>
      </c>
      <c r="AC156" s="106">
        <f t="shared" si="95"/>
        <v>0.385572858820399</v>
      </c>
      <c r="AD156" s="107">
        <f t="shared" si="96"/>
        <v>0.385572858820399</v>
      </c>
      <c r="AE156" s="105">
        <f t="shared" si="97"/>
        <v>11.0124007936508</v>
      </c>
      <c r="AF156" s="106">
        <f t="shared" si="98"/>
        <v>6.20945133502469</v>
      </c>
      <c r="AG156" s="106">
        <f t="shared" si="87"/>
        <v>0.250622358233259</v>
      </c>
      <c r="AH156" s="106">
        <f t="shared" si="88"/>
        <v>-0.236075752410084</v>
      </c>
      <c r="AI156" s="107">
        <f t="shared" si="99"/>
        <v>0.0145466058231752</v>
      </c>
      <c r="AJ156" s="105">
        <f t="shared" si="100"/>
        <v>2.48333333333333</v>
      </c>
      <c r="AK156" s="106">
        <f t="shared" si="101"/>
        <v>4.75539455803653</v>
      </c>
      <c r="AL156" s="106">
        <f t="shared" si="102"/>
        <v>0.807083333333333</v>
      </c>
      <c r="AM156" s="106">
        <f t="shared" si="89"/>
        <v>0</v>
      </c>
      <c r="AN156" s="107">
        <f t="shared" si="103"/>
        <v>0.807083333333333</v>
      </c>
      <c r="AO156" s="105">
        <f t="shared" si="90"/>
        <v>0.385572858820399</v>
      </c>
      <c r="AP156" s="106">
        <f t="shared" si="91"/>
        <v>0.1512</v>
      </c>
      <c r="AQ156" s="107">
        <f t="shared" si="104"/>
        <v>0.0132</v>
      </c>
      <c r="AR156" s="105">
        <f t="shared" si="105"/>
        <v>1.37160279797691</v>
      </c>
      <c r="AS156" s="106">
        <f t="shared" si="106"/>
        <v>24.8333333333333</v>
      </c>
      <c r="AT156" s="107">
        <f t="shared" si="107"/>
        <v>94.7658609389317</v>
      </c>
    </row>
    <row r="157" ht="15.75" spans="17:46">
      <c r="Q157">
        <v>150</v>
      </c>
      <c r="R157" s="113">
        <f t="shared" si="80"/>
        <v>10</v>
      </c>
      <c r="S157" s="114">
        <f t="shared" si="81"/>
        <v>2.5</v>
      </c>
      <c r="T157" s="114">
        <f t="shared" si="82"/>
        <v>4</v>
      </c>
      <c r="U157" s="115">
        <f t="shared" si="83"/>
        <v>6.25</v>
      </c>
      <c r="V157" s="105">
        <f t="shared" si="84"/>
        <v>2</v>
      </c>
      <c r="W157" s="106">
        <f t="shared" si="85"/>
        <v>0.714285714285714</v>
      </c>
      <c r="X157" s="107">
        <f t="shared" si="86"/>
        <v>0.285714285714286</v>
      </c>
      <c r="Y157" s="105">
        <f t="shared" si="92"/>
        <v>0.408163265306122</v>
      </c>
      <c r="Z157" s="106">
        <f t="shared" si="93"/>
        <v>9.15816326530612</v>
      </c>
      <c r="AA157" s="106">
        <f t="shared" si="94"/>
        <v>6.25111054967532</v>
      </c>
      <c r="AB157" s="106">
        <v>0</v>
      </c>
      <c r="AC157" s="106">
        <f t="shared" si="95"/>
        <v>0.390763831042621</v>
      </c>
      <c r="AD157" s="107">
        <f t="shared" si="96"/>
        <v>0.390763831042621</v>
      </c>
      <c r="AE157" s="105">
        <f t="shared" si="97"/>
        <v>11.1607142857143</v>
      </c>
      <c r="AF157" s="106">
        <f t="shared" si="98"/>
        <v>6.25111054967532</v>
      </c>
      <c r="AG157" s="106">
        <f t="shared" si="87"/>
        <v>0.253996490177704</v>
      </c>
      <c r="AH157" s="106">
        <f t="shared" si="88"/>
        <v>-0.237660153432971</v>
      </c>
      <c r="AI157" s="107">
        <f t="shared" si="99"/>
        <v>0.0163363367447332</v>
      </c>
      <c r="AJ157" s="105">
        <f t="shared" si="100"/>
        <v>2.5</v>
      </c>
      <c r="AK157" s="106">
        <f t="shared" si="101"/>
        <v>4.78657231932583</v>
      </c>
      <c r="AL157" s="106">
        <f t="shared" si="102"/>
        <v>0.8125</v>
      </c>
      <c r="AM157" s="106">
        <f t="shared" si="89"/>
        <v>0</v>
      </c>
      <c r="AN157" s="107">
        <f t="shared" si="103"/>
        <v>0.8125</v>
      </c>
      <c r="AO157" s="105">
        <f t="shared" si="90"/>
        <v>0.390763831042621</v>
      </c>
      <c r="AP157" s="106">
        <f t="shared" si="91"/>
        <v>0.1512</v>
      </c>
      <c r="AQ157" s="107">
        <f t="shared" si="104"/>
        <v>0.0132</v>
      </c>
      <c r="AR157" s="105">
        <f t="shared" si="105"/>
        <v>1.38400016778735</v>
      </c>
      <c r="AS157" s="106">
        <f t="shared" si="106"/>
        <v>25</v>
      </c>
      <c r="AT157" s="107">
        <f t="shared" si="107"/>
        <v>94.7543960014179</v>
      </c>
    </row>
  </sheetData>
  <mergeCells count="8">
    <mergeCell ref="A1:M1"/>
    <mergeCell ref="Y2:AD2"/>
    <mergeCell ref="R5:U5"/>
    <mergeCell ref="V5:X5"/>
    <mergeCell ref="Y5:AD5"/>
    <mergeCell ref="AE5:AI5"/>
    <mergeCell ref="AJ5:AN5"/>
    <mergeCell ref="AO5:AQ5"/>
  </mergeCells>
  <pageMargins left="0.7" right="0.7" top="0.75" bottom="0.75" header="0.3" footer="0.3"/>
  <pageSetup paperSize="1" orientation="portrait"/>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P708"/>
  <sheetViews>
    <sheetView zoomScale="85" zoomScaleNormal="85" topLeftCell="A40" workbookViewId="0">
      <selection activeCell="E73" sqref="E73"/>
    </sheetView>
  </sheetViews>
  <sheetFormatPr defaultColWidth="9" defaultRowHeight="15"/>
  <cols>
    <col min="1" max="1" width="18.7142857142857" customWidth="1"/>
    <col min="2" max="2" width="25" customWidth="1"/>
    <col min="8" max="10" width="8.85714285714286"/>
    <col min="15" max="15" width="16.5714285714286" style="18" customWidth="1"/>
    <col min="16" max="16" width="16.5714285714286" customWidth="1"/>
    <col min="29" max="29" width="8.85714285714286"/>
    <col min="32" max="37" width="8.71428571428571"/>
    <col min="38" max="38" width="11.4285714285714" customWidth="1"/>
    <col min="39" max="40" width="8.71428571428571"/>
    <col min="41" max="41" width="13.1428571428571" customWidth="1"/>
    <col min="42" max="44" width="8.71428571428571"/>
    <col min="46" max="46" width="10.1428571428571" customWidth="1"/>
    <col min="47" max="47" width="12" customWidth="1"/>
    <col min="55" max="55" width="8.85714285714286"/>
    <col min="58" max="58" width="8.85714285714286"/>
  </cols>
  <sheetData>
    <row r="1" customFormat="1" ht="27.75" spans="1:68">
      <c r="A1" s="1" t="s">
        <v>90</v>
      </c>
      <c r="B1" s="1"/>
      <c r="C1" s="1"/>
      <c r="D1" s="1"/>
      <c r="E1" s="1"/>
      <c r="F1" s="1"/>
      <c r="G1" s="1"/>
      <c r="H1" s="1"/>
      <c r="I1" s="1"/>
      <c r="J1" s="1"/>
      <c r="K1" s="1"/>
      <c r="L1" s="1"/>
      <c r="M1" s="1"/>
      <c r="N1" s="1" t="s">
        <v>434</v>
      </c>
      <c r="O1" s="1"/>
      <c r="P1" s="1"/>
      <c r="Q1" s="1"/>
      <c r="R1" s="1"/>
      <c r="S1" s="1"/>
      <c r="T1" s="1"/>
      <c r="U1" s="1"/>
      <c r="V1" s="1"/>
      <c r="W1" s="1"/>
      <c r="X1" s="1"/>
    </row>
    <row r="2" customFormat="1" spans="1:68">
      <c r="A2" s="2"/>
      <c r="B2" s="2" t="s">
        <v>91</v>
      </c>
      <c r="C2" s="3"/>
      <c r="D2" s="4"/>
      <c r="E2" s="2"/>
      <c r="F2" s="2"/>
      <c r="G2" s="2"/>
      <c r="H2" s="2"/>
      <c r="I2" s="2"/>
      <c r="J2" s="2"/>
      <c r="K2" s="2"/>
      <c r="L2" s="2"/>
      <c r="M2" s="2"/>
      <c r="AF2" s="19" t="s">
        <v>435</v>
      </c>
      <c r="AG2" s="19"/>
      <c r="AH2" s="19"/>
      <c r="AI2" s="19"/>
      <c r="AJ2" s="19"/>
      <c r="AK2" s="19"/>
      <c r="AL2" s="19"/>
      <c r="AM2" s="19"/>
      <c r="AN2" s="19"/>
      <c r="AO2" s="19"/>
      <c r="AP2" s="19"/>
      <c r="AQ2" s="19"/>
      <c r="AR2" s="19"/>
    </row>
    <row r="3" customFormat="1" ht="15.75" spans="1:68">
      <c r="A3" s="2"/>
      <c r="B3" s="2" t="s">
        <v>92</v>
      </c>
      <c r="C3" s="5"/>
      <c r="D3" s="4"/>
      <c r="E3" s="2"/>
      <c r="F3" s="20"/>
      <c r="G3" s="21"/>
      <c r="H3" s="21"/>
      <c r="I3" s="21"/>
      <c r="J3" s="21"/>
      <c r="K3" s="22"/>
      <c r="L3" s="2"/>
      <c r="M3" s="2"/>
      <c r="O3" t="s">
        <v>436</v>
      </c>
    </row>
    <row r="4" customFormat="1" ht="15.75" spans="1:68">
      <c r="A4" s="2"/>
      <c r="B4" s="2" t="s">
        <v>96</v>
      </c>
      <c r="C4" s="6"/>
      <c r="D4" s="4"/>
      <c r="E4" s="2"/>
      <c r="F4" s="20"/>
      <c r="G4" s="21"/>
      <c r="H4" s="21"/>
      <c r="I4" s="21"/>
      <c r="J4" s="21"/>
      <c r="K4" s="22"/>
      <c r="L4" s="2"/>
      <c r="M4" s="2"/>
      <c r="N4" s="23"/>
      <c r="O4" s="24"/>
      <c r="P4" s="25" t="s">
        <v>437</v>
      </c>
      <c r="Q4" s="25"/>
      <c r="R4" s="25"/>
      <c r="S4" s="25"/>
      <c r="T4" s="25"/>
      <c r="U4" s="25"/>
      <c r="V4" s="25"/>
      <c r="W4" s="25"/>
      <c r="X4" s="25"/>
      <c r="Y4" s="25"/>
      <c r="Z4" s="25"/>
      <c r="AA4" s="25"/>
      <c r="AB4" s="25"/>
      <c r="AC4" s="25"/>
      <c r="AD4" s="25"/>
      <c r="AE4" s="26"/>
      <c r="AF4" s="25"/>
      <c r="AG4" s="25"/>
      <c r="AH4" s="25"/>
      <c r="AI4" s="25"/>
      <c r="AJ4" s="25"/>
      <c r="AK4" s="25"/>
      <c r="AL4" s="25"/>
      <c r="AM4" s="25"/>
      <c r="AN4" s="25"/>
      <c r="AO4" s="25"/>
      <c r="AP4" s="25"/>
      <c r="AQ4" s="25"/>
      <c r="AR4" s="25"/>
      <c r="AS4" s="27" t="s">
        <v>438</v>
      </c>
      <c r="AT4" s="25"/>
      <c r="AU4" s="25"/>
      <c r="AV4" s="25"/>
      <c r="AW4" s="25"/>
      <c r="AX4" s="25"/>
      <c r="AY4" s="25"/>
      <c r="AZ4" s="25"/>
      <c r="BA4" s="25"/>
      <c r="BB4" s="25"/>
      <c r="BC4" s="25"/>
      <c r="BD4" s="25"/>
      <c r="BE4" s="26"/>
      <c r="BF4" s="27" t="s">
        <v>439</v>
      </c>
      <c r="BG4" s="25"/>
      <c r="BH4" s="26"/>
      <c r="BI4" s="27" t="s">
        <v>440</v>
      </c>
      <c r="BJ4" s="25"/>
      <c r="BK4" s="26"/>
      <c r="BL4" s="28" t="s">
        <v>441</v>
      </c>
      <c r="BM4" s="29"/>
    </row>
    <row r="5" customFormat="1" spans="1:68">
      <c r="A5" s="2"/>
      <c r="D5" s="4"/>
      <c r="E5" s="2"/>
      <c r="F5" s="2"/>
      <c r="G5" s="2"/>
      <c r="H5" s="2"/>
      <c r="I5" s="2"/>
      <c r="J5" s="2"/>
      <c r="K5" s="2"/>
      <c r="L5" s="2"/>
      <c r="M5" s="2"/>
      <c r="N5" s="30"/>
      <c r="O5" s="31"/>
      <c r="P5" s="32"/>
      <c r="Q5" s="33" t="s">
        <v>442</v>
      </c>
      <c r="R5" s="33"/>
      <c r="S5" s="33"/>
      <c r="T5" s="34" t="s">
        <v>443</v>
      </c>
      <c r="U5" s="34"/>
      <c r="V5" s="34"/>
      <c r="W5" s="34" t="s">
        <v>443</v>
      </c>
      <c r="X5" s="34"/>
      <c r="Y5" s="34"/>
      <c r="Z5" s="34" t="s">
        <v>444</v>
      </c>
      <c r="AA5" s="34"/>
      <c r="AB5" s="34"/>
      <c r="AC5" s="35" t="s">
        <v>445</v>
      </c>
      <c r="AD5" s="34"/>
      <c r="AE5" s="36"/>
      <c r="AF5" s="34"/>
      <c r="AG5" s="33" t="s">
        <v>442</v>
      </c>
      <c r="AH5" s="33"/>
      <c r="AI5" s="33"/>
      <c r="AJ5" s="37" t="s">
        <v>443</v>
      </c>
      <c r="AK5" s="37"/>
      <c r="AL5" s="37"/>
      <c r="AM5" s="34" t="s">
        <v>446</v>
      </c>
      <c r="AN5" s="34"/>
      <c r="AO5" s="34"/>
      <c r="AP5" s="38" t="s">
        <v>445</v>
      </c>
      <c r="AQ5" s="37"/>
      <c r="AR5" s="39"/>
      <c r="AS5" s="32"/>
      <c r="AT5" s="34" t="s">
        <v>447</v>
      </c>
      <c r="AU5" s="34"/>
      <c r="AV5" s="34"/>
      <c r="AW5" s="34" t="s">
        <v>448</v>
      </c>
      <c r="AX5" s="34"/>
      <c r="AY5" s="34"/>
      <c r="AZ5" s="34" t="s">
        <v>449</v>
      </c>
      <c r="BA5" s="34"/>
      <c r="BB5" s="34"/>
      <c r="BC5" s="35" t="s">
        <v>445</v>
      </c>
      <c r="BD5" s="34"/>
      <c r="BE5" s="36"/>
      <c r="BF5" s="35" t="s">
        <v>445</v>
      </c>
      <c r="BG5" s="34"/>
      <c r="BH5" s="36"/>
      <c r="BI5" s="35" t="s">
        <v>445</v>
      </c>
      <c r="BJ5" s="34"/>
      <c r="BK5" s="36"/>
      <c r="BL5" s="35" t="s">
        <v>445</v>
      </c>
      <c r="BM5" s="40"/>
    </row>
    <row r="6" customFormat="1" ht="15.75" spans="1:68">
      <c r="A6" s="7" t="s">
        <v>97</v>
      </c>
      <c r="B6" s="7" t="s">
        <v>98</v>
      </c>
      <c r="C6" s="7" t="s">
        <v>99</v>
      </c>
      <c r="D6" s="4"/>
      <c r="E6" s="8" t="s">
        <v>100</v>
      </c>
      <c r="F6" s="8"/>
      <c r="G6" s="8"/>
      <c r="H6" s="8"/>
      <c r="I6" s="8"/>
      <c r="J6" s="8"/>
      <c r="K6" s="8"/>
      <c r="L6" s="8"/>
      <c r="M6" s="41"/>
      <c r="N6" s="30"/>
      <c r="O6" s="31"/>
      <c r="P6" s="42" t="s">
        <v>450</v>
      </c>
      <c r="Q6" s="32" t="s">
        <v>451</v>
      </c>
      <c r="R6" s="42" t="s">
        <v>452</v>
      </c>
      <c r="S6" s="42" t="s">
        <v>453</v>
      </c>
      <c r="T6" s="42" t="s">
        <v>451</v>
      </c>
      <c r="U6" s="42" t="s">
        <v>452</v>
      </c>
      <c r="V6" s="42" t="s">
        <v>453</v>
      </c>
      <c r="W6" s="43" t="s">
        <v>451</v>
      </c>
      <c r="X6" s="42" t="s">
        <v>452</v>
      </c>
      <c r="Y6" s="42" t="s">
        <v>453</v>
      </c>
      <c r="Z6" s="43" t="s">
        <v>451</v>
      </c>
      <c r="AA6" s="43" t="s">
        <v>452</v>
      </c>
      <c r="AB6" s="43" t="s">
        <v>453</v>
      </c>
      <c r="AC6" s="44" t="s">
        <v>454</v>
      </c>
      <c r="AD6" s="43" t="s">
        <v>452</v>
      </c>
      <c r="AE6" s="45" t="s">
        <v>453</v>
      </c>
      <c r="AF6" s="46" t="s">
        <v>450</v>
      </c>
      <c r="AG6" s="47" t="s">
        <v>451</v>
      </c>
      <c r="AH6" s="47" t="s">
        <v>455</v>
      </c>
      <c r="AI6" s="47" t="s">
        <v>453</v>
      </c>
      <c r="AJ6" s="47" t="s">
        <v>451</v>
      </c>
      <c r="AK6" s="47" t="s">
        <v>455</v>
      </c>
      <c r="AL6" s="47" t="s">
        <v>453</v>
      </c>
      <c r="AM6" s="47" t="s">
        <v>451</v>
      </c>
      <c r="AN6" s="47" t="s">
        <v>455</v>
      </c>
      <c r="AO6" s="47" t="s">
        <v>453</v>
      </c>
      <c r="AP6" s="48" t="s">
        <v>454</v>
      </c>
      <c r="AQ6" s="49" t="s">
        <v>452</v>
      </c>
      <c r="AR6" s="50" t="s">
        <v>453</v>
      </c>
      <c r="AS6" s="42" t="s">
        <v>456</v>
      </c>
      <c r="AT6" s="43" t="s">
        <v>451</v>
      </c>
      <c r="AU6" s="43" t="s">
        <v>455</v>
      </c>
      <c r="AV6" s="43" t="s">
        <v>453</v>
      </c>
      <c r="AW6" s="43" t="s">
        <v>451</v>
      </c>
      <c r="AX6" s="43" t="s">
        <v>455</v>
      </c>
      <c r="AY6" s="43" t="s">
        <v>453</v>
      </c>
      <c r="AZ6" s="43" t="s">
        <v>451</v>
      </c>
      <c r="BA6" s="43" t="s">
        <v>455</v>
      </c>
      <c r="BB6" s="43" t="s">
        <v>453</v>
      </c>
      <c r="BC6" s="44" t="s">
        <v>454</v>
      </c>
      <c r="BD6" s="43" t="s">
        <v>452</v>
      </c>
      <c r="BE6" s="45" t="s">
        <v>453</v>
      </c>
      <c r="BF6" s="44" t="s">
        <v>454</v>
      </c>
      <c r="BG6" s="43" t="s">
        <v>452</v>
      </c>
      <c r="BH6" s="45" t="s">
        <v>453</v>
      </c>
      <c r="BI6" s="44" t="s">
        <v>454</v>
      </c>
      <c r="BJ6" s="43" t="s">
        <v>452</v>
      </c>
      <c r="BK6" s="45" t="s">
        <v>453</v>
      </c>
      <c r="BL6" s="43" t="s">
        <v>452</v>
      </c>
      <c r="BM6" s="43" t="s">
        <v>453</v>
      </c>
    </row>
    <row r="7" customFormat="1" ht="15.75" spans="1:68">
      <c r="A7" s="7"/>
      <c r="B7" s="7"/>
      <c r="C7" s="7"/>
      <c r="D7" s="4"/>
      <c r="E7" s="8"/>
      <c r="F7" s="8"/>
      <c r="G7" s="8"/>
      <c r="H7" s="8"/>
      <c r="I7" s="8"/>
      <c r="J7" s="8"/>
      <c r="K7" s="8"/>
      <c r="L7" s="8"/>
      <c r="M7" s="41"/>
      <c r="N7" t="s">
        <v>457</v>
      </c>
      <c r="O7" s="24">
        <f>fcross</f>
        <v>700</v>
      </c>
      <c r="P7" s="51" t="str">
        <f>COMPLEX(ADC_VINmin,0)</f>
        <v>46,9565217391304</v>
      </c>
      <c r="Q7" s="52" t="str">
        <f>IMSUM(COMPLEX(1,0),IMDIV(COMPLEX(0,2*PI()*O7),COMPLEX(wp_lf_VINmin,0)))</f>
        <v>1+5,56854127398038i</v>
      </c>
      <c r="R7" s="52">
        <f t="shared" ref="R7:R13" si="0">IMABS(Q7)</f>
        <v>5.65761892672377</v>
      </c>
      <c r="S7" s="52">
        <f t="shared" ref="S7:S13" si="1">IMARGUMENT(Q7)</f>
        <v>1.39311000114179</v>
      </c>
      <c r="T7" s="52" t="str">
        <f>IMSUM(COMPLEX(1,0),IMDIV(COMPLEX(0,2*PI()*O7),COMPLEX(wz_esr_VINmin,0)))</f>
        <v>1+0,0689642419316032i</v>
      </c>
      <c r="U7" s="52">
        <f t="shared" ref="U7:U13" si="2">IMABS(T7)</f>
        <v>1.00237521251535</v>
      </c>
      <c r="V7" s="52">
        <f t="shared" ref="V7:V13" si="3">IMARGUMENT(T7)</f>
        <v>0.0688552200281267</v>
      </c>
      <c r="W7" s="53" t="str">
        <f>IMSUB(COMPLEX(1,0),IMDIV(COMPLEX(0,2*PI()*O7),COMPLEX(wz_RHP_VINmin,0)))</f>
        <v>1-0,158824961931484i</v>
      </c>
      <c r="X7" s="52">
        <f t="shared" ref="X7:X13" si="4">IMABS(W7)</f>
        <v>1.01253413203335</v>
      </c>
      <c r="Y7" s="52">
        <f t="shared" ref="Y7:Y13" si="5">IMARGUMENT(W7)</f>
        <v>-0.157509344680881</v>
      </c>
      <c r="Z7" s="53" t="str">
        <f>IMSUM(COMPLEX(1,0),IMDIV(COMPLEX(0,2*PI()*O7),COMPLEX(Q_VINmin*(wsl_VINmin/2),0)),IMDIV(IMPOWER(COMPLEX(0,2*PI()*O7),2),IMPOWER(COMPLEX(wsl_VINmin/2,0),2)))</f>
        <v>0,999996+0,0274043543782371i</v>
      </c>
      <c r="AA7" s="52">
        <f t="shared" ref="AA7:AA13" si="6">IMABS(Z7)</f>
        <v>1.00037143034719</v>
      </c>
      <c r="AB7" s="52">
        <f t="shared" ref="AB7:AB13" si="7">IMARGUMENT(Z7)</f>
        <v>0.027397606792434</v>
      </c>
      <c r="AC7" s="54" t="str">
        <f t="shared" ref="AC7:AC13" si="8">(IMDIV(IMPRODUCT(P7,T7,W7),IMPRODUCT(Q7,Z7)))</f>
        <v>0,518669220271543-8,40457024143729i</v>
      </c>
      <c r="AD7" s="55">
        <f t="shared" ref="AD7:AD13" si="9">20*LOG(IMABS(AC7))</f>
        <v>18.5068187590309</v>
      </c>
      <c r="AE7" s="24">
        <f t="shared" ref="AE7:AE13" si="10">(180/PI())*IMARGUMENT(AC7)</f>
        <v>-86.4685978798845</v>
      </c>
      <c r="AF7" s="32" t="str">
        <f>COMPLEX($B$68,0)</f>
        <v>326,048966736478</v>
      </c>
      <c r="AG7" s="32" t="str">
        <f t="shared" ref="AG7:AG13" si="11">IMSUM(COMPLEX(1,0),IMDIV(COMPLEX(0,2*PI()*O7),COMPLEX(wp_lf_DCM,0)))</f>
        <v>1+3,6945129606216i</v>
      </c>
      <c r="AH7" s="32">
        <f>IMABS(AG7)</f>
        <v>3.82745686013585</v>
      </c>
      <c r="AI7" s="32">
        <f>IMARGUMENT(AG7)</f>
        <v>1.30645856417128</v>
      </c>
      <c r="AJ7" s="32" t="str">
        <f t="shared" ref="AJ7:AJ13" si="12">IMSUM(COMPLEX(1,0),IMDIV(COMPLEX(0,2*PI()*O7),COMPLEX(wz1_dcm,0)))</f>
        <v>1+0,0689642419316032i</v>
      </c>
      <c r="AK7" s="32">
        <f>IMABS(AJ7)</f>
        <v>1.00237521251535</v>
      </c>
      <c r="AL7" s="32">
        <f>IMARGUMENT(AJ7)</f>
        <v>0.0688552200281267</v>
      </c>
      <c r="AM7" s="32" t="str">
        <f t="shared" ref="AM7:AM13" si="13">IMSUB(COMPLEX(1,0),IMDIV(COMPLEX(0,2*PI()*O7),COMPLEX(wz2_dcm,0)))</f>
        <v>1-0,0113815006815577i</v>
      </c>
      <c r="AN7" s="32">
        <f>IMABS(AM7)</f>
        <v>1.00006476718149</v>
      </c>
      <c r="AO7" s="32">
        <f>IMARGUMENT(AM7)</f>
        <v>-0.0113810092720232</v>
      </c>
      <c r="AP7" s="30" t="str">
        <f>(IMDIV(IMPRODUCT(AF7,AJ7,AM7),IMPRODUCT(AG7)))</f>
        <v>27,0091541241351-81,0108766806122i</v>
      </c>
      <c r="AQ7" s="32">
        <f>20*LOG(IMABS(AP7))</f>
        <v>38.6286193905778</v>
      </c>
      <c r="AR7" s="31">
        <f>(180/PI())*IMARGUMENT(AP7)</f>
        <v>-71.5615321285656</v>
      </c>
      <c r="AS7" s="53" t="str">
        <f t="shared" ref="AS7:AS13" si="14">COMPLEX(Adc_ea,0)</f>
        <v>-0,000100699300699301</v>
      </c>
      <c r="AT7" s="53" t="str">
        <f t="shared" ref="AT7:AT13" si="15">COMPLEX(0,2*PI()*O7*wp0_ea)</f>
        <v>0,000988282216966277i</v>
      </c>
      <c r="AU7" s="53">
        <f t="shared" ref="AU7:AU13" si="16">IMABS(AT7)</f>
        <v>0.000988282216966277</v>
      </c>
      <c r="AV7" s="53">
        <f t="shared" ref="AV7:AV13" si="17">IMARGUMENT(AT7)</f>
        <v>1.5707963267949</v>
      </c>
      <c r="AW7" s="53" t="str">
        <f t="shared" ref="AW7:AW13" si="18">IMSUM(COMPLEX(1,0),IMDIV(COMPLEX(0,2*PI()*O7),COMPLEX(wp1_ea,0)))</f>
        <v>1+0,0505982368194992i</v>
      </c>
      <c r="AX7" s="53">
        <f t="shared" ref="AX7:AX13" si="19">IMABS(AW7)</f>
        <v>1.00127927251554</v>
      </c>
      <c r="AY7" s="53">
        <f t="shared" ref="AY7:AY13" si="20">IMARGUMENT(AW7)</f>
        <v>0.0505551228035251</v>
      </c>
      <c r="AZ7" s="53" t="str">
        <f t="shared" ref="AZ7:AZ13" si="21">IMSUM(COMPLEX(1,0),IMDIV(COMPLEX(0,2*PI()*O7),COMPLEX(wz_ea,0)))</f>
        <v>1+2,41902634326414i</v>
      </c>
      <c r="BA7" s="53">
        <f t="shared" ref="BA7:BA13" si="22">IMABS(AZ7)</f>
        <v>2.61757300746433</v>
      </c>
      <c r="BB7" s="53">
        <f t="shared" ref="BB7:BB13" si="23">IMARGUMENT(AZ7)</f>
        <v>1.17880086316425</v>
      </c>
      <c r="BC7" s="23" t="str">
        <f t="shared" ref="BC7:BC13" si="24">IMPRODUCT(AS7,IMDIV(AZ7,IMPRODUCT(AT7,AW7)))</f>
        <v>-0,240710607118291+0,114072796161721i</v>
      </c>
      <c r="BD7" s="53">
        <f t="shared" ref="BD7:BD13" si="25">20*LOG(IMABS(BC7))</f>
        <v>-11.490218970789</v>
      </c>
      <c r="BE7" s="24">
        <f t="shared" ref="BE7:BE13" si="26">(180/PI())*IMARGUMENT(BC7)</f>
        <v>154.643719176283</v>
      </c>
      <c r="BF7" s="23" t="str">
        <f t="shared" ref="BF7:BF13" si="27">IMPRODUCT(AC7,BC7)</f>
        <v>0,833883645073208+2,08223525362409i</v>
      </c>
      <c r="BG7" s="55">
        <f t="shared" ref="BG7:BG13" si="28">20*LOG(IMABS(BF7))</f>
        <v>7.01659978824186</v>
      </c>
      <c r="BH7" s="24">
        <f t="shared" ref="BH7:BH13" si="29">(180/PI())*IMARGUMENT(BF7)</f>
        <v>68.1751212963982</v>
      </c>
      <c r="BI7" s="23" t="str">
        <f>IMPRODUCT(AP7,BC7)</f>
        <v>2,73974733549774+22,5811870418781i</v>
      </c>
      <c r="BJ7" s="55">
        <f t="shared" ref="BJ7:BJ13" si="30">20*LOG(IMABS(BI7))</f>
        <v>27.1384004197888</v>
      </c>
      <c r="BK7" s="24">
        <f t="shared" ref="BK7:BK13" si="31">(180/PI())*IMARGUMENT(BI7)</f>
        <v>83.0821870477171</v>
      </c>
      <c r="BL7">
        <f>IF($B$31=0,BJ7,BG7)</f>
        <v>7.01659978824186</v>
      </c>
      <c r="BM7">
        <f>IF($B$31=0,BK7,BH7)</f>
        <v>68.1751212963982</v>
      </c>
    </row>
    <row r="8" customFormat="1" ht="15.75" spans="1:68">
      <c r="A8" s="7"/>
      <c r="B8" s="7"/>
      <c r="C8" s="7"/>
      <c r="D8" s="4"/>
      <c r="E8" s="8"/>
      <c r="F8" s="8"/>
      <c r="G8" s="8"/>
      <c r="H8" s="8"/>
      <c r="I8" s="8"/>
      <c r="J8" s="8"/>
      <c r="K8" s="8"/>
      <c r="L8" s="8"/>
      <c r="M8" s="41"/>
      <c r="N8" s="23" t="s">
        <v>458</v>
      </c>
      <c r="O8" s="24">
        <f>fcross</f>
        <v>700</v>
      </c>
      <c r="P8" s="51" t="str">
        <f t="shared" ref="P8:P13" si="32">COMPLEX(Adc,0)</f>
        <v>60</v>
      </c>
      <c r="Q8" s="52" t="str">
        <f t="shared" ref="Q8:Q13" si="33">IMSUM(COMPLEX(1,0),IMDIV(COMPLEX(0,2*PI()*O8),COMPLEX(wp_lf,0)))</f>
        <v>1+5,74702016096692i</v>
      </c>
      <c r="R8" s="52">
        <f t="shared" si="0"/>
        <v>5.83337301486543</v>
      </c>
      <c r="S8" s="52">
        <f t="shared" si="1"/>
        <v>1.3985179867323</v>
      </c>
      <c r="T8" s="52" t="str">
        <f t="shared" ref="T8:T13" si="34">IMSUM(COMPLEX(1,0),IMDIV(COMPLEX(0,2*PI()*O8),COMPLEX(wz_esr,0)))</f>
        <v>1+0,0689642419316032i</v>
      </c>
      <c r="U8" s="52">
        <f t="shared" si="2"/>
        <v>1.00237521251535</v>
      </c>
      <c r="V8" s="52">
        <f t="shared" si="3"/>
        <v>0.0688552200281267</v>
      </c>
      <c r="W8" s="53" t="str">
        <f t="shared" ref="W8:W13" si="35">IMSUB(COMPLEX(1,0),IMDIV(COMPLEX(0,2*PI()*O8),COMPLEX(wz_rhp,0)))</f>
        <v>1-0,0962112750161874i</v>
      </c>
      <c r="X8" s="52">
        <f t="shared" si="4"/>
        <v>1.00461764340481</v>
      </c>
      <c r="Y8" s="52">
        <f t="shared" si="5"/>
        <v>-0.0959160495629131</v>
      </c>
      <c r="Z8" s="53" t="str">
        <f t="shared" ref="Z8:Z13" si="36">IMSUM(COMPLEX(1,0),IMDIV(COMPLEX(0,2*PI()*O8),COMPLEX(Q*(wsl/2),0)),IMDIV(IMPOWER(COMPLEX(0,2*PI()*O8),2),IMPOWER(COMPLEX(wsl/2,0),2)))</f>
        <v>0,999996+0,0256712999693338i</v>
      </c>
      <c r="AA8" s="52">
        <f t="shared" si="6"/>
        <v>1.00032545486862</v>
      </c>
      <c r="AB8" s="52">
        <f t="shared" si="7"/>
        <v>0.0256657655533412</v>
      </c>
      <c r="AC8" s="54" t="str">
        <f t="shared" si="8"/>
        <v>1,23492958007548-10,2804062547733i</v>
      </c>
      <c r="AD8" s="55">
        <f t="shared" si="9"/>
        <v>20.302426030473</v>
      </c>
      <c r="AE8" s="24">
        <f t="shared" si="10"/>
        <v>-83.1501895795385</v>
      </c>
      <c r="AF8" s="32" t="str">
        <f t="shared" ref="AF8:AF13" si="37">COMPLEX($B$68,0)</f>
        <v>326,048966736478</v>
      </c>
      <c r="AG8" s="32" t="str">
        <f t="shared" si="11"/>
        <v>1+3,6945129606216i</v>
      </c>
      <c r="AH8" s="32">
        <f t="shared" ref="AH8:AH13" si="38">IMABS(AG8)</f>
        <v>3.82745686013585</v>
      </c>
      <c r="AI8" s="32">
        <f t="shared" ref="AI8:AI13" si="39">IMARGUMENT(AG8)</f>
        <v>1.30645856417128</v>
      </c>
      <c r="AJ8" s="32" t="str">
        <f t="shared" si="12"/>
        <v>1+0,0689642419316032i</v>
      </c>
      <c r="AK8" s="32">
        <f t="shared" ref="AK8:AK13" si="40">IMABS(AJ8)</f>
        <v>1.00237521251535</v>
      </c>
      <c r="AL8" s="32">
        <f t="shared" ref="AL8:AL13" si="41">IMARGUMENT(AJ8)</f>
        <v>0.0688552200281267</v>
      </c>
      <c r="AM8" s="32" t="str">
        <f t="shared" si="13"/>
        <v>1-0,0113815006815577i</v>
      </c>
      <c r="AN8" s="32">
        <f t="shared" ref="AN8:AN13" si="42">IMABS(AM8)</f>
        <v>1.00006476718149</v>
      </c>
      <c r="AO8" s="32">
        <f t="shared" ref="AO8:AO13" si="43">IMARGUMENT(AM8)</f>
        <v>-0.0113810092720232</v>
      </c>
      <c r="AP8" s="30" t="str">
        <f t="shared" ref="AP8:AP13" si="44">(IMDIV(IMPRODUCT(AF8,AJ8,AM8),IMPRODUCT(AG8)))</f>
        <v>27,0091541241351-81,0108766806122i</v>
      </c>
      <c r="AQ8" s="32">
        <f t="shared" ref="AQ8:AQ13" si="45">20*LOG(IMABS(AP8))</f>
        <v>38.6286193905778</v>
      </c>
      <c r="AR8" s="31">
        <f t="shared" ref="AR8:AR13" si="46">(180/PI())*IMARGUMENT(AP8)</f>
        <v>-71.5615321285656</v>
      </c>
      <c r="AS8" s="53" t="str">
        <f t="shared" si="14"/>
        <v>-0,000100699300699301</v>
      </c>
      <c r="AT8" s="53" t="str">
        <f t="shared" si="15"/>
        <v>0,000988282216966277i</v>
      </c>
      <c r="AU8" s="53">
        <f t="shared" si="16"/>
        <v>0.000988282216966277</v>
      </c>
      <c r="AV8" s="53">
        <f t="shared" si="17"/>
        <v>1.5707963267949</v>
      </c>
      <c r="AW8" s="53" t="str">
        <f t="shared" si="18"/>
        <v>1+0,0505982368194992i</v>
      </c>
      <c r="AX8" s="53">
        <f t="shared" si="19"/>
        <v>1.00127927251554</v>
      </c>
      <c r="AY8" s="53">
        <f t="shared" si="20"/>
        <v>0.0505551228035251</v>
      </c>
      <c r="AZ8" s="53" t="str">
        <f t="shared" si="21"/>
        <v>1+2,41902634326414i</v>
      </c>
      <c r="BA8" s="53">
        <f t="shared" si="22"/>
        <v>2.61757300746433</v>
      </c>
      <c r="BB8" s="53">
        <f t="shared" si="23"/>
        <v>1.17880086316425</v>
      </c>
      <c r="BC8" s="23" t="str">
        <f t="shared" si="24"/>
        <v>-0,240710607118291+0,114072796161721i</v>
      </c>
      <c r="BD8" s="53">
        <f t="shared" si="25"/>
        <v>-11.490218970789</v>
      </c>
      <c r="BE8" s="24">
        <f t="shared" si="26"/>
        <v>154.643719176283</v>
      </c>
      <c r="BF8" s="23" t="str">
        <f t="shared" si="27"/>
        <v>0,875454038192131+2,61547470127119i</v>
      </c>
      <c r="BG8" s="55">
        <f t="shared" si="28"/>
        <v>8.81220705968392</v>
      </c>
      <c r="BH8" s="24">
        <f t="shared" si="29"/>
        <v>71.4935295967442</v>
      </c>
      <c r="BI8" s="23" t="str">
        <f t="shared" ref="BI8:BI13" si="47">IMPRODUCT(AP8,BC8)</f>
        <v>2,73974733549774+22,5811870418781i</v>
      </c>
      <c r="BJ8" s="55">
        <f t="shared" si="30"/>
        <v>27.1384004197888</v>
      </c>
      <c r="BK8" s="24">
        <f t="shared" si="31"/>
        <v>83.0821870477171</v>
      </c>
      <c r="BL8">
        <f t="shared" ref="BL8:BL13" si="48">IF($B$31=0,BJ8,BG8)</f>
        <v>8.81220705968392</v>
      </c>
      <c r="BM8">
        <f t="shared" ref="BM8:BM13" si="49">IF($B$31=0,BK8,BH8)</f>
        <v>71.4935295967442</v>
      </c>
    </row>
    <row r="9" customFormat="1" ht="15.75" spans="1:68">
      <c r="A9" s="56" t="s">
        <v>459</v>
      </c>
      <c r="B9" s="7"/>
      <c r="C9" s="7"/>
      <c r="D9" s="4"/>
      <c r="E9" s="8"/>
      <c r="F9" s="8"/>
      <c r="G9" s="8"/>
      <c r="H9" s="8"/>
      <c r="I9" s="8"/>
      <c r="J9" s="8"/>
      <c r="K9" s="8"/>
      <c r="L9" s="8"/>
      <c r="M9" s="41"/>
      <c r="N9" s="57" t="s">
        <v>446</v>
      </c>
      <c r="O9" s="58">
        <f>IF($B$31=0,B74,wz_rhp/(2*PI()))</f>
        <v>7275.65454134379</v>
      </c>
      <c r="P9" s="59" t="str">
        <f t="shared" si="32"/>
        <v>60</v>
      </c>
      <c r="Q9" s="60" t="str">
        <f t="shared" si="33"/>
        <v>1+59,7333333333333i</v>
      </c>
      <c r="R9" s="60">
        <f t="shared" si="0"/>
        <v>59.7417032826409</v>
      </c>
      <c r="S9" s="60">
        <f t="shared" si="1"/>
        <v>1.55405681907365</v>
      </c>
      <c r="T9" s="60" t="str">
        <f t="shared" si="34"/>
        <v>1+0,7168i</v>
      </c>
      <c r="U9" s="60">
        <f t="shared" si="2"/>
        <v>1.23036670956264</v>
      </c>
      <c r="V9" s="60">
        <f t="shared" si="3"/>
        <v>0.621912371827261</v>
      </c>
      <c r="W9" s="61" t="str">
        <f t="shared" si="35"/>
        <v>1-i</v>
      </c>
      <c r="X9" s="60">
        <f t="shared" si="4"/>
        <v>1.4142135623731</v>
      </c>
      <c r="Y9" s="60">
        <f t="shared" si="5"/>
        <v>-0.785398163397448</v>
      </c>
      <c r="Z9" s="61" t="str">
        <f t="shared" si="36"/>
        <v>0,999567876334653+0,266822157434403i</v>
      </c>
      <c r="AA9" s="60">
        <f t="shared" si="6"/>
        <v>1.03456754399996</v>
      </c>
      <c r="AB9" s="60">
        <f t="shared" si="7"/>
        <v>0.260855234344095</v>
      </c>
      <c r="AC9" s="62" t="str">
        <f t="shared" si="8"/>
        <v>-0,66958746144967-1,55075136470749i</v>
      </c>
      <c r="AD9" s="63">
        <f t="shared" si="9"/>
        <v>4.55328739346053</v>
      </c>
      <c r="AE9" s="64">
        <f t="shared" si="10"/>
        <v>-113.353846715586</v>
      </c>
      <c r="AF9" s="32" t="str">
        <f t="shared" si="37"/>
        <v>326,048966736478</v>
      </c>
      <c r="AG9" s="32" t="str">
        <f t="shared" si="11"/>
        <v>1+38,4i</v>
      </c>
      <c r="AH9" s="32">
        <f t="shared" si="38"/>
        <v>38.4130186265021</v>
      </c>
      <c r="AI9" s="32">
        <f t="shared" si="39"/>
        <v>1.54476054461251</v>
      </c>
      <c r="AJ9" s="32" t="str">
        <f t="shared" si="12"/>
        <v>1+0,7168i</v>
      </c>
      <c r="AK9" s="32">
        <f t="shared" si="40"/>
        <v>1.23036670956264</v>
      </c>
      <c r="AL9" s="32">
        <f t="shared" si="41"/>
        <v>0.621912371827261</v>
      </c>
      <c r="AM9" s="32" t="str">
        <f t="shared" si="13"/>
        <v>1-0,118296953030118i</v>
      </c>
      <c r="AN9" s="32">
        <f t="shared" si="42"/>
        <v>1.00697277475422</v>
      </c>
      <c r="AO9" s="32">
        <f t="shared" si="43"/>
        <v>-0.117749718071211</v>
      </c>
      <c r="AP9" s="30" t="str">
        <f t="shared" si="44"/>
        <v>5,31806384990021-9,07235178300411i</v>
      </c>
      <c r="AQ9" s="32">
        <f t="shared" si="45"/>
        <v>20.4371338394692</v>
      </c>
      <c r="AR9" s="31">
        <f t="shared" si="46"/>
        <v>-59.6218673162901</v>
      </c>
      <c r="AS9" s="61" t="str">
        <f t="shared" si="14"/>
        <v>-0,000100699300699301</v>
      </c>
      <c r="AT9" s="61" t="str">
        <f t="shared" si="15"/>
        <v>0,010272i</v>
      </c>
      <c r="AU9" s="61">
        <f t="shared" si="16"/>
        <v>0.010272</v>
      </c>
      <c r="AV9" s="61">
        <f t="shared" si="17"/>
        <v>1.5707963267949</v>
      </c>
      <c r="AW9" s="61" t="str">
        <f t="shared" si="18"/>
        <v>1+0,525907559285396i</v>
      </c>
      <c r="AX9" s="61">
        <f t="shared" si="19"/>
        <v>1.12985784987029</v>
      </c>
      <c r="AY9" s="61">
        <f t="shared" si="20"/>
        <v>0.484158198250766</v>
      </c>
      <c r="AZ9" s="61" t="str">
        <f t="shared" si="21"/>
        <v>1+25,1428571428571i</v>
      </c>
      <c r="BA9" s="61">
        <f t="shared" si="22"/>
        <v>25.1627356482979</v>
      </c>
      <c r="BB9" s="61">
        <f t="shared" si="23"/>
        <v>1.53104455139905</v>
      </c>
      <c r="BC9" s="57" t="str">
        <f t="shared" si="24"/>
        <v>-0,189041896487031+0,109221843215495i</v>
      </c>
      <c r="BD9" s="61">
        <f t="shared" si="25"/>
        <v>-13.2178901662388</v>
      </c>
      <c r="BE9" s="64">
        <f t="shared" si="26"/>
        <v>149.982169665239</v>
      </c>
      <c r="BF9" s="57" t="str">
        <f t="shared" si="27"/>
        <v>0,295956005998679+0,220023402230638i</v>
      </c>
      <c r="BG9" s="63">
        <f t="shared" si="28"/>
        <v>-8.66460277277825</v>
      </c>
      <c r="BH9" s="64">
        <f t="shared" si="29"/>
        <v>36.6283229496527</v>
      </c>
      <c r="BI9" s="23" t="str">
        <f t="shared" si="47"/>
        <v>-0,0144378917851656+2,29590332268039i</v>
      </c>
      <c r="BJ9" s="63">
        <f t="shared" si="30"/>
        <v>7.21924367323042</v>
      </c>
      <c r="BK9" s="64">
        <f t="shared" si="31"/>
        <v>90.3603023489487</v>
      </c>
      <c r="BL9">
        <f t="shared" si="48"/>
        <v>-8.66460277277825</v>
      </c>
      <c r="BM9">
        <f t="shared" si="49"/>
        <v>36.6283229496527</v>
      </c>
    </row>
    <row r="10" customFormat="1" ht="15.75" spans="1:68">
      <c r="A10" t="s">
        <v>104</v>
      </c>
      <c r="B10" s="15">
        <f>VIN_min</f>
        <v>3</v>
      </c>
      <c r="C10" t="s">
        <v>7</v>
      </c>
      <c r="E10" t="s">
        <v>105</v>
      </c>
      <c r="N10" s="30" t="s">
        <v>443</v>
      </c>
      <c r="O10" s="65">
        <f>IF(B31=0,B72,wz_esr/(2*PI()))</f>
        <v>10150.1876971872</v>
      </c>
      <c r="P10" s="66" t="str">
        <f t="shared" si="32"/>
        <v>60</v>
      </c>
      <c r="Q10" s="42" t="str">
        <f t="shared" si="33"/>
        <v>1+83,3333333333332i</v>
      </c>
      <c r="R10" s="42">
        <f t="shared" si="0"/>
        <v>83.3393331173488</v>
      </c>
      <c r="S10" s="42">
        <f t="shared" si="1"/>
        <v>1.55879690274514</v>
      </c>
      <c r="T10" s="42" t="str">
        <f t="shared" si="34"/>
        <v>1+i</v>
      </c>
      <c r="U10" s="42">
        <f t="shared" si="2"/>
        <v>1.4142135623731</v>
      </c>
      <c r="V10" s="42">
        <f t="shared" si="3"/>
        <v>0.785398163397448</v>
      </c>
      <c r="W10" s="32" t="str">
        <f t="shared" si="35"/>
        <v>1-1,39508928571429i</v>
      </c>
      <c r="X10" s="42">
        <f t="shared" si="4"/>
        <v>1.71647141401038</v>
      </c>
      <c r="Y10" s="42">
        <f t="shared" si="5"/>
        <v>-0.948883954967637</v>
      </c>
      <c r="Z10" s="32" t="str">
        <f t="shared" si="36"/>
        <v>0,999158968895607+0,372240733027906i</v>
      </c>
      <c r="AA10" s="42">
        <f t="shared" si="6"/>
        <v>1.06624659832971</v>
      </c>
      <c r="AB10" s="42">
        <f t="shared" si="7"/>
        <v>0.356624564295699</v>
      </c>
      <c r="AC10" s="67" t="str">
        <f t="shared" si="8"/>
        <v>-0,797448632918923-1,4319905634908i</v>
      </c>
      <c r="AD10" s="68">
        <f t="shared" si="9"/>
        <v>4.29190287573407</v>
      </c>
      <c r="AE10" s="31">
        <f t="shared" si="10"/>
        <v>-119.112611917524</v>
      </c>
      <c r="AF10" s="32" t="str">
        <f t="shared" si="37"/>
        <v>326,048966736478</v>
      </c>
      <c r="AG10" s="32" t="str">
        <f t="shared" si="11"/>
        <v>1+53,5714285714286i</v>
      </c>
      <c r="AH10" s="32">
        <f t="shared" si="38"/>
        <v>53.5807610918665</v>
      </c>
      <c r="AI10" s="32">
        <f t="shared" si="39"/>
        <v>1.55213182777383</v>
      </c>
      <c r="AJ10" s="32" t="str">
        <f t="shared" si="12"/>
        <v>1+i</v>
      </c>
      <c r="AK10" s="32">
        <f t="shared" si="40"/>
        <v>1.4142135623731</v>
      </c>
      <c r="AL10" s="32">
        <f t="shared" si="41"/>
        <v>0.785398163397448</v>
      </c>
      <c r="AM10" s="32" t="str">
        <f t="shared" si="13"/>
        <v>1-0,165034811704964i</v>
      </c>
      <c r="AN10" s="32">
        <f t="shared" si="42"/>
        <v>1.01352675794697</v>
      </c>
      <c r="AO10" s="32">
        <f t="shared" si="43"/>
        <v>-0.163560507706384</v>
      </c>
      <c r="AP10" s="30" t="str">
        <f t="shared" si="44"/>
        <v>5,21234802313314-6,99339290617889i</v>
      </c>
      <c r="AQ10" s="32">
        <f t="shared" si="45"/>
        <v>18.8124833342051</v>
      </c>
      <c r="AR10" s="31">
        <f t="shared" si="46"/>
        <v>-53.3019297659597</v>
      </c>
      <c r="AS10" s="32" t="str">
        <f t="shared" si="14"/>
        <v>-0,000100699300699301</v>
      </c>
      <c r="AT10" s="32" t="str">
        <f t="shared" si="15"/>
        <v>0,0143303571428571i</v>
      </c>
      <c r="AU10" s="32">
        <f t="shared" si="16"/>
        <v>0.0143303571428571</v>
      </c>
      <c r="AV10" s="32">
        <f t="shared" si="17"/>
        <v>1.5707963267949</v>
      </c>
      <c r="AW10" s="32" t="str">
        <f t="shared" si="18"/>
        <v>1+0,733688001235207i</v>
      </c>
      <c r="AX10" s="32">
        <f t="shared" si="19"/>
        <v>1.24028145320186</v>
      </c>
      <c r="AY10" s="32">
        <f t="shared" si="20"/>
        <v>0.632979432637693</v>
      </c>
      <c r="AZ10" s="32" t="str">
        <f t="shared" si="21"/>
        <v>1+35,0765306122448i</v>
      </c>
      <c r="BA10" s="32">
        <f t="shared" si="22"/>
        <v>35.0907822624653</v>
      </c>
      <c r="BB10" s="32">
        <f t="shared" si="23"/>
        <v>1.54229495588286</v>
      </c>
      <c r="BC10" s="30" t="str">
        <f t="shared" si="24"/>
        <v>-0,156879133258078+0,12212732941552i</v>
      </c>
      <c r="BD10" s="32">
        <f t="shared" si="25"/>
        <v>-14.0311551806189</v>
      </c>
      <c r="BE10" s="31">
        <f t="shared" si="26"/>
        <v>142.099941727678</v>
      </c>
      <c r="BF10" s="30" t="str">
        <f t="shared" si="27"/>
        <v>0,299988233617517+0,127259166549738i</v>
      </c>
      <c r="BG10" s="68">
        <f t="shared" si="28"/>
        <v>-9.73925230488481</v>
      </c>
      <c r="BH10" s="31">
        <f t="shared" si="29"/>
        <v>22.9873298101546</v>
      </c>
      <c r="BI10" s="23" t="str">
        <f t="shared" si="47"/>
        <v>0,0363757590764867+1,73368756170405i</v>
      </c>
      <c r="BJ10" s="68">
        <f t="shared" si="30"/>
        <v>4.78132815358626</v>
      </c>
      <c r="BK10" s="31">
        <f t="shared" si="31"/>
        <v>88.7980119617185</v>
      </c>
      <c r="BL10">
        <f t="shared" si="48"/>
        <v>-9.73925230488481</v>
      </c>
      <c r="BM10">
        <f t="shared" si="49"/>
        <v>22.9873298101546</v>
      </c>
    </row>
    <row r="11" customFormat="1" ht="15.75" spans="1:68">
      <c r="A11" t="s">
        <v>106</v>
      </c>
      <c r="B11" s="15">
        <f>VIN_nom</f>
        <v>3.7</v>
      </c>
      <c r="C11" t="s">
        <v>7</v>
      </c>
      <c r="E11" t="s">
        <v>107</v>
      </c>
      <c r="N11" s="69" t="s">
        <v>442</v>
      </c>
      <c r="O11" s="70">
        <f>IF(B31=0,B70,wp_lf/(2*PI()))</f>
        <v>121.802252366246</v>
      </c>
      <c r="P11" s="71" t="str">
        <f t="shared" si="32"/>
        <v>60</v>
      </c>
      <c r="Q11" s="72" t="str">
        <f t="shared" si="33"/>
        <v>1+i</v>
      </c>
      <c r="R11" s="72">
        <f t="shared" si="0"/>
        <v>1.4142135623731</v>
      </c>
      <c r="S11" s="72">
        <f t="shared" si="1"/>
        <v>0.785398163397448</v>
      </c>
      <c r="T11" s="72" t="str">
        <f t="shared" si="34"/>
        <v>1+0,012i</v>
      </c>
      <c r="U11" s="72">
        <f t="shared" si="2"/>
        <v>1.00007199740819</v>
      </c>
      <c r="V11" s="72">
        <f t="shared" si="3"/>
        <v>0.0119994240497613</v>
      </c>
      <c r="W11" s="73" t="str">
        <f t="shared" si="35"/>
        <v>1-0,0167410714285714i</v>
      </c>
      <c r="X11" s="72">
        <f t="shared" si="4"/>
        <v>1.00014012191921</v>
      </c>
      <c r="Y11" s="72">
        <f t="shared" si="5"/>
        <v>-0.0167395077212419</v>
      </c>
      <c r="Z11" s="73" t="str">
        <f t="shared" si="36"/>
        <v>0,999999878891521+0,00446688879633487i</v>
      </c>
      <c r="AA11" s="72">
        <f t="shared" si="6"/>
        <v>1.00000985539072</v>
      </c>
      <c r="AB11" s="72">
        <f t="shared" si="7"/>
        <v>0.00446685962823831</v>
      </c>
      <c r="AC11" s="74" t="str">
        <f t="shared" si="8"/>
        <v>29,7285361304954-30,2810566608369i</v>
      </c>
      <c r="AD11" s="75">
        <f t="shared" si="9"/>
        <v>32.5544817859134</v>
      </c>
      <c r="AE11" s="76">
        <f t="shared" si="10"/>
        <v>-45.5275189932902</v>
      </c>
      <c r="AF11" s="32" t="str">
        <f t="shared" si="37"/>
        <v>326,048966736478</v>
      </c>
      <c r="AG11" s="32" t="str">
        <f t="shared" si="11"/>
        <v>1+0,642857142857143i</v>
      </c>
      <c r="AH11" s="32">
        <f t="shared" si="38"/>
        <v>1.18880835550666</v>
      </c>
      <c r="AI11" s="32">
        <f t="shared" si="39"/>
        <v>0.571337479833627</v>
      </c>
      <c r="AJ11" s="32" t="str">
        <f t="shared" si="12"/>
        <v>1+0,012i</v>
      </c>
      <c r="AK11" s="32">
        <f t="shared" si="40"/>
        <v>1.00007199740819</v>
      </c>
      <c r="AL11" s="32">
        <f t="shared" si="41"/>
        <v>0.0119994240497613</v>
      </c>
      <c r="AM11" s="32" t="str">
        <f t="shared" si="13"/>
        <v>1-0,00198041774045957i</v>
      </c>
      <c r="AN11" s="32">
        <f t="shared" si="42"/>
        <v>1.00000196102529</v>
      </c>
      <c r="AO11" s="32">
        <f t="shared" si="43"/>
        <v>-0.00198041515136361</v>
      </c>
      <c r="AP11" s="30" t="str">
        <f t="shared" si="44"/>
        <v>232,197625911541-146,003027928851i</v>
      </c>
      <c r="AQ11" s="32">
        <f t="shared" si="45"/>
        <v>48.7640619601302</v>
      </c>
      <c r="AR11" s="31">
        <f t="shared" si="46"/>
        <v>-32.1611793473255</v>
      </c>
      <c r="AS11" s="73" t="str">
        <f t="shared" si="14"/>
        <v>-0,000100699300699301</v>
      </c>
      <c r="AT11" s="73" t="str">
        <f t="shared" si="15"/>
        <v>0,000171964285714286i</v>
      </c>
      <c r="AU11" s="73">
        <f t="shared" si="16"/>
        <v>0.000171964285714286</v>
      </c>
      <c r="AV11" s="73">
        <f t="shared" si="17"/>
        <v>1.5707963267949</v>
      </c>
      <c r="AW11" s="73" t="str">
        <f t="shared" si="18"/>
        <v>1+0,00880425601482249i</v>
      </c>
      <c r="AX11" s="73">
        <f t="shared" si="19"/>
        <v>1.00003875671095</v>
      </c>
      <c r="AY11" s="73">
        <f t="shared" si="20"/>
        <v>0.00880402853832354</v>
      </c>
      <c r="AZ11" s="73" t="str">
        <f t="shared" si="21"/>
        <v>1+0,420918367346938i</v>
      </c>
      <c r="BA11" s="73">
        <f t="shared" si="22"/>
        <v>1.08497570109658</v>
      </c>
      <c r="BB11" s="73">
        <f t="shared" si="23"/>
        <v>0.398408394572024</v>
      </c>
      <c r="BC11" s="69" t="str">
        <f t="shared" si="24"/>
        <v>-0,241308164994092+0,587707180520483i</v>
      </c>
      <c r="BD11" s="73">
        <f t="shared" si="25"/>
        <v>-3.94017250136851</v>
      </c>
      <c r="BE11" s="76">
        <f t="shared" si="26"/>
        <v>112.322685853601</v>
      </c>
      <c r="BF11" s="69" t="str">
        <f t="shared" si="27"/>
        <v>10,622655931711+24,7787403671634i</v>
      </c>
      <c r="BG11" s="75">
        <f t="shared" si="28"/>
        <v>28.6143092845449</v>
      </c>
      <c r="BH11" s="76">
        <f t="shared" si="29"/>
        <v>66.795166860311</v>
      </c>
      <c r="BI11" s="23" t="str">
        <f t="shared" si="47"/>
        <v>29,7758448668198+171,695934801114i</v>
      </c>
      <c r="BJ11" s="75">
        <f t="shared" si="30"/>
        <v>44.8238894587617</v>
      </c>
      <c r="BK11" s="76">
        <f t="shared" si="31"/>
        <v>80.1615065062757</v>
      </c>
      <c r="BL11">
        <f t="shared" si="48"/>
        <v>28.6143092845449</v>
      </c>
      <c r="BM11">
        <f t="shared" si="49"/>
        <v>66.795166860311</v>
      </c>
      <c r="BO11" s="77" t="s">
        <v>460</v>
      </c>
      <c r="BP11" s="77"/>
    </row>
    <row r="12" customFormat="1" ht="15.75" spans="1:68">
      <c r="A12" t="s">
        <v>108</v>
      </c>
      <c r="B12" s="15">
        <f>VIN_max</f>
        <v>12.6</v>
      </c>
      <c r="C12" t="s">
        <v>7</v>
      </c>
      <c r="E12" t="s">
        <v>109</v>
      </c>
      <c r="N12" s="57" t="s">
        <v>449</v>
      </c>
      <c r="O12" s="64">
        <f>wz_ea/(2*PI())</f>
        <v>289.372623803446</v>
      </c>
      <c r="P12" s="59" t="str">
        <f t="shared" si="32"/>
        <v>60</v>
      </c>
      <c r="Q12" s="60" t="str">
        <f t="shared" si="33"/>
        <v>1+2,37575757575758i</v>
      </c>
      <c r="R12" s="60">
        <f t="shared" si="0"/>
        <v>2.57763924139309</v>
      </c>
      <c r="S12" s="60">
        <f t="shared" si="1"/>
        <v>1.17238793222287</v>
      </c>
      <c r="T12" s="60" t="str">
        <f t="shared" si="34"/>
        <v>1+0,028509090909091i</v>
      </c>
      <c r="U12" s="60">
        <f t="shared" si="2"/>
        <v>1.00040630159174</v>
      </c>
      <c r="V12" s="60">
        <f t="shared" si="3"/>
        <v>0.0285013709120361</v>
      </c>
      <c r="W12" s="61" t="str">
        <f t="shared" si="35"/>
        <v>1-0,0397727272727273i</v>
      </c>
      <c r="X12" s="60">
        <f t="shared" si="4"/>
        <v>1.00079062237548</v>
      </c>
      <c r="Y12" s="60">
        <f t="shared" si="5"/>
        <v>-0.039751775395848</v>
      </c>
      <c r="Z12" s="61" t="str">
        <f t="shared" si="36"/>
        <v>0,999999316436609+0,0106122448979592i</v>
      </c>
      <c r="AA12" s="60">
        <f t="shared" si="6"/>
        <v>1.00005562476067</v>
      </c>
      <c r="AB12" s="60">
        <f t="shared" si="7"/>
        <v>0.0106118537954467</v>
      </c>
      <c r="AC12" s="62" t="str">
        <f t="shared" si="8"/>
        <v>8,56901631245791-21,6710337293556i</v>
      </c>
      <c r="AD12" s="63">
        <f t="shared" si="9"/>
        <v>27.3484920955283</v>
      </c>
      <c r="AE12" s="64">
        <f t="shared" si="10"/>
        <v>-68.4254955984666</v>
      </c>
      <c r="AF12" s="32" t="str">
        <f t="shared" si="37"/>
        <v>326,048966736478</v>
      </c>
      <c r="AG12" s="32" t="str">
        <f t="shared" si="11"/>
        <v>1+1,52727272727273i</v>
      </c>
      <c r="AH12" s="32">
        <f t="shared" si="38"/>
        <v>1.82553060326884</v>
      </c>
      <c r="AI12" s="32">
        <f t="shared" si="39"/>
        <v>0.991080826351219</v>
      </c>
      <c r="AJ12" s="32" t="str">
        <f t="shared" si="12"/>
        <v>1+0,028509090909091i</v>
      </c>
      <c r="AK12" s="32">
        <f t="shared" si="40"/>
        <v>1.00040630159174</v>
      </c>
      <c r="AL12" s="32">
        <f t="shared" si="41"/>
        <v>0.0285013709120361</v>
      </c>
      <c r="AM12" s="32" t="str">
        <f t="shared" si="13"/>
        <v>1-0,00470499245006152i</v>
      </c>
      <c r="AN12" s="32">
        <f t="shared" si="42"/>
        <v>1.00001106841572</v>
      </c>
      <c r="AO12" s="32">
        <f t="shared" si="43"/>
        <v>-0.00470495773245557</v>
      </c>
      <c r="AP12" s="30" t="str">
        <f t="shared" si="44"/>
        <v>101,407363894279-147,115399513693i</v>
      </c>
      <c r="AQ12" s="32">
        <f t="shared" si="45"/>
        <v>45.0414987199538</v>
      </c>
      <c r="AR12" s="31">
        <f t="shared" si="46"/>
        <v>-55.4213144635233</v>
      </c>
      <c r="AS12" s="61" t="str">
        <f t="shared" si="14"/>
        <v>-0,000100699300699301</v>
      </c>
      <c r="AT12" s="61" t="str">
        <f t="shared" si="15"/>
        <v>0,000408545454545455i</v>
      </c>
      <c r="AU12" s="61">
        <f t="shared" si="16"/>
        <v>0.000408545454545455</v>
      </c>
      <c r="AV12" s="61">
        <f t="shared" si="17"/>
        <v>1.5707963267949</v>
      </c>
      <c r="AW12" s="61" t="str">
        <f t="shared" si="18"/>
        <v>1+0,0209167779261237i</v>
      </c>
      <c r="AX12" s="61">
        <f t="shared" si="19"/>
        <v>1.00021873187759</v>
      </c>
      <c r="AY12" s="61">
        <f t="shared" si="20"/>
        <v>0.0209137282823189</v>
      </c>
      <c r="AZ12" s="61" t="str">
        <f t="shared" si="21"/>
        <v>1+i</v>
      </c>
      <c r="BA12" s="61">
        <f t="shared" si="22"/>
        <v>1.4142135623731</v>
      </c>
      <c r="BB12" s="61">
        <f t="shared" si="23"/>
        <v>0.785398163397448</v>
      </c>
      <c r="BC12" s="57" t="str">
        <f t="shared" si="24"/>
        <v>-0,241221332847155+0,251528062523352i</v>
      </c>
      <c r="BD12" s="61">
        <f t="shared" si="25"/>
        <v>-9.1558782824512</v>
      </c>
      <c r="BE12" s="64">
        <f t="shared" si="26"/>
        <v>133.80173163554</v>
      </c>
      <c r="BF12" s="57" t="str">
        <f t="shared" si="27"/>
        <v>3,38384359074291+7,38286371117435i</v>
      </c>
      <c r="BG12" s="63">
        <f t="shared" si="28"/>
        <v>18.1926138130771</v>
      </c>
      <c r="BH12" s="64">
        <f t="shared" si="29"/>
        <v>65.3762360370731</v>
      </c>
      <c r="BI12" s="23" t="str">
        <f t="shared" si="47"/>
        <v>12,5420319279336+60,9941705189632i</v>
      </c>
      <c r="BJ12" s="63">
        <f t="shared" si="30"/>
        <v>35.8856204375026</v>
      </c>
      <c r="BK12" s="64">
        <f t="shared" si="31"/>
        <v>78.3804171720165</v>
      </c>
      <c r="BL12">
        <f t="shared" si="48"/>
        <v>18.1926138130771</v>
      </c>
      <c r="BM12">
        <f t="shared" si="49"/>
        <v>65.3762360370731</v>
      </c>
      <c r="BO12" t="s">
        <v>461</v>
      </c>
      <c r="BP12">
        <f>SUM(BO19:BO559)/1000</f>
        <v>1.86208713666287</v>
      </c>
    </row>
    <row r="13" customFormat="1" ht="15.75" spans="1:68">
      <c r="A13" t="s">
        <v>110</v>
      </c>
      <c r="B13" s="15">
        <f>Fsw</f>
        <v>700000</v>
      </c>
      <c r="C13" t="s">
        <v>111</v>
      </c>
      <c r="E13" t="s">
        <v>112</v>
      </c>
      <c r="N13" s="69" t="s">
        <v>448</v>
      </c>
      <c r="O13" s="76">
        <f>wp1_ea/(2*PI())</f>
        <v>13834.4741635392</v>
      </c>
      <c r="P13" s="71" t="str">
        <f t="shared" si="32"/>
        <v>60</v>
      </c>
      <c r="Q13" s="72" t="str">
        <f t="shared" si="33"/>
        <v>1+113,581431334623i</v>
      </c>
      <c r="R13" s="72">
        <f t="shared" si="0"/>
        <v>113.585833377326</v>
      </c>
      <c r="S13" s="72">
        <f t="shared" si="1"/>
        <v>1.56199229825657</v>
      </c>
      <c r="T13" s="72" t="str">
        <f t="shared" si="34"/>
        <v>1+1,36297717601547i</v>
      </c>
      <c r="U13" s="72">
        <f t="shared" si="2"/>
        <v>1.69047531254943</v>
      </c>
      <c r="V13" s="72">
        <f t="shared" si="3"/>
        <v>0.937816894157202</v>
      </c>
      <c r="W13" s="73" t="str">
        <f t="shared" si="35"/>
        <v>1-1,9014748549323i</v>
      </c>
      <c r="X13" s="72">
        <f t="shared" si="4"/>
        <v>2.14839629117624</v>
      </c>
      <c r="Y13" s="72">
        <f t="shared" si="5"/>
        <v>-1.08663812854413</v>
      </c>
      <c r="Z13" s="73" t="str">
        <f t="shared" si="36"/>
        <v>0,998437610813211+0,507355623100305i</v>
      </c>
      <c r="AA13" s="72">
        <f t="shared" si="6"/>
        <v>1.11994972698684</v>
      </c>
      <c r="AB13" s="72">
        <f t="shared" si="7"/>
        <v>0.470145974097326</v>
      </c>
      <c r="AC13" s="74" t="str">
        <f t="shared" si="8"/>
        <v>-0,981538442305858-1,40387885686722i</v>
      </c>
      <c r="AD13" s="75">
        <f t="shared" si="9"/>
        <v>4.67503560240643</v>
      </c>
      <c r="AE13" s="76">
        <f t="shared" si="10"/>
        <v>-124.959775025183</v>
      </c>
      <c r="AF13" s="32" t="str">
        <f t="shared" si="37"/>
        <v>326,048966736478</v>
      </c>
      <c r="AG13" s="32" t="str">
        <f t="shared" si="11"/>
        <v>1+73,0166344294004i</v>
      </c>
      <c r="AH13" s="32">
        <f t="shared" si="38"/>
        <v>73.0234818630055</v>
      </c>
      <c r="AI13" s="32">
        <f t="shared" si="39"/>
        <v>1.55710167361725</v>
      </c>
      <c r="AJ13" s="32" t="str">
        <f t="shared" si="12"/>
        <v>1+1,36297717601547i</v>
      </c>
      <c r="AK13" s="32">
        <f t="shared" si="40"/>
        <v>1.69047531254943</v>
      </c>
      <c r="AL13" s="32">
        <f t="shared" si="41"/>
        <v>0.937816894157202</v>
      </c>
      <c r="AM13" s="32" t="str">
        <f t="shared" si="13"/>
        <v>1-0,224938681601877i</v>
      </c>
      <c r="AN13" s="32">
        <f t="shared" si="42"/>
        <v>1.02498654160959</v>
      </c>
      <c r="AO13" s="32">
        <f t="shared" si="43"/>
        <v>-0.221256077847339</v>
      </c>
      <c r="AP13" s="30" t="str">
        <f t="shared" si="44"/>
        <v>5,16074231982635-5,76376014120714i</v>
      </c>
      <c r="AQ13" s="32">
        <f t="shared" si="45"/>
        <v>17.7709457429674</v>
      </c>
      <c r="AR13" s="31">
        <f t="shared" si="46"/>
        <v>-48.1594436320211</v>
      </c>
      <c r="AS13" s="73" t="str">
        <f t="shared" si="14"/>
        <v>-0,000100699300699301</v>
      </c>
      <c r="AT13" s="73" t="str">
        <f t="shared" si="15"/>
        <v>0,0195319497098646i</v>
      </c>
      <c r="AU13" s="73">
        <f t="shared" si="16"/>
        <v>0.0195319497098646</v>
      </c>
      <c r="AV13" s="73">
        <f t="shared" si="17"/>
        <v>1.5707963267949</v>
      </c>
      <c r="AW13" s="73" t="str">
        <f t="shared" si="18"/>
        <v>1+i</v>
      </c>
      <c r="AX13" s="73">
        <f t="shared" si="19"/>
        <v>1.4142135623731</v>
      </c>
      <c r="AY13" s="73">
        <f t="shared" si="20"/>
        <v>0.785398163397448</v>
      </c>
      <c r="AZ13" s="73" t="str">
        <f t="shared" si="21"/>
        <v>1+47,8085106382978i</v>
      </c>
      <c r="BA13" s="73">
        <f t="shared" si="22"/>
        <v>47.8189678835944</v>
      </c>
      <c r="BB13" s="73">
        <f t="shared" si="23"/>
        <v>1.54988259851258</v>
      </c>
      <c r="BC13" s="69" t="str">
        <f t="shared" si="24"/>
        <v>-0,120663434989078+0,125819054484065i</v>
      </c>
      <c r="BD13" s="73">
        <f t="shared" si="25"/>
        <v>-15.1726788493367</v>
      </c>
      <c r="BE13" s="76">
        <f t="shared" si="26"/>
        <v>133.80173163554</v>
      </c>
      <c r="BF13" s="69" t="str">
        <f t="shared" si="27"/>
        <v>0,295070510403657+0,0459006064274539i</v>
      </c>
      <c r="BG13" s="75">
        <f t="shared" si="28"/>
        <v>-10.4976432469303</v>
      </c>
      <c r="BH13" s="76">
        <f t="shared" si="29"/>
        <v>8.84195661035677</v>
      </c>
      <c r="BI13" s="23" t="str">
        <f t="shared" si="47"/>
        <v>0,102477955835873+1,34479481620764i</v>
      </c>
      <c r="BJ13" s="75">
        <f t="shared" si="30"/>
        <v>2.59826689363075</v>
      </c>
      <c r="BK13" s="76">
        <f t="shared" si="31"/>
        <v>85.6422880035188</v>
      </c>
      <c r="BL13">
        <f t="shared" si="48"/>
        <v>-10.4976432469303</v>
      </c>
      <c r="BM13">
        <f t="shared" si="49"/>
        <v>8.84195661035677</v>
      </c>
    </row>
    <row r="14" customFormat="1" spans="1:68">
      <c r="B14" s="13"/>
      <c r="O14" s="18"/>
      <c r="BO14" t="s">
        <v>462</v>
      </c>
      <c r="BP14" s="78">
        <f>SUM(BP19:BP559)</f>
        <v>69.3764599719982</v>
      </c>
    </row>
    <row r="15" ht="15.75" spans="1:68">
      <c r="A15" s="79" t="s">
        <v>463</v>
      </c>
      <c r="O15" s="18" t="s">
        <v>464</v>
      </c>
      <c r="P15">
        <f>B16</f>
        <v>4</v>
      </c>
      <c r="Q15" t="s">
        <v>7</v>
      </c>
      <c r="BO15" s="80"/>
      <c r="BP15" s="80"/>
    </row>
    <row r="16" ht="15.75" spans="1:68">
      <c r="A16" t="s">
        <v>431</v>
      </c>
      <c r="B16">
        <v>4</v>
      </c>
      <c r="C16" t="s">
        <v>7</v>
      </c>
      <c r="E16" t="s">
        <v>465</v>
      </c>
      <c r="O16" s="81"/>
      <c r="P16" s="25" t="s">
        <v>466</v>
      </c>
      <c r="Q16" s="25"/>
      <c r="R16" s="25"/>
      <c r="S16" s="25"/>
      <c r="T16" s="25"/>
      <c r="U16" s="25"/>
      <c r="V16" s="25"/>
      <c r="W16" s="25"/>
      <c r="X16" s="25"/>
      <c r="Y16" s="25"/>
      <c r="Z16" s="25"/>
      <c r="AA16" s="25"/>
      <c r="AB16" s="25"/>
      <c r="AC16" s="25"/>
      <c r="AD16" s="25"/>
      <c r="AE16" s="26"/>
      <c r="AF16" s="27" t="s">
        <v>467</v>
      </c>
      <c r="AG16" s="25"/>
      <c r="AH16" s="25"/>
      <c r="AI16" s="25"/>
      <c r="AJ16" s="25"/>
      <c r="AK16" s="25"/>
      <c r="AL16" s="25"/>
      <c r="AM16" s="25"/>
      <c r="AN16" s="25"/>
      <c r="AO16" s="25"/>
      <c r="AP16" s="25"/>
      <c r="AQ16" s="25"/>
      <c r="AR16" s="26"/>
      <c r="AS16" s="27" t="s">
        <v>438</v>
      </c>
      <c r="AT16" s="25"/>
      <c r="AU16" s="25"/>
      <c r="AV16" s="25"/>
      <c r="AW16" s="25"/>
      <c r="AX16" s="25"/>
      <c r="AY16" s="25"/>
      <c r="AZ16" s="25"/>
      <c r="BA16" s="25"/>
      <c r="BB16" s="25"/>
      <c r="BC16" s="25"/>
      <c r="BD16" s="25"/>
      <c r="BE16" s="26"/>
      <c r="BF16" s="27" t="s">
        <v>439</v>
      </c>
      <c r="BG16" s="25"/>
      <c r="BH16" s="26"/>
      <c r="BI16" s="27" t="s">
        <v>440</v>
      </c>
      <c r="BJ16" s="25"/>
      <c r="BK16" s="26"/>
      <c r="BL16" s="27" t="s">
        <v>441</v>
      </c>
      <c r="BM16" s="26"/>
      <c r="BO16" s="80"/>
      <c r="BP16" s="80"/>
    </row>
    <row r="17" spans="1:68">
      <c r="A17" t="s">
        <v>468</v>
      </c>
      <c r="B17">
        <f>IOUT</f>
        <v>2.5</v>
      </c>
      <c r="C17" t="s">
        <v>12</v>
      </c>
      <c r="E17" t="s">
        <v>469</v>
      </c>
      <c r="O17" s="82"/>
      <c r="P17" s="32"/>
      <c r="Q17" s="33" t="s">
        <v>442</v>
      </c>
      <c r="R17" s="33"/>
      <c r="S17" s="33"/>
      <c r="T17" s="34" t="s">
        <v>443</v>
      </c>
      <c r="U17" s="34"/>
      <c r="V17" s="34"/>
      <c r="W17" s="34" t="s">
        <v>446</v>
      </c>
      <c r="X17" s="34"/>
      <c r="Y17" s="34"/>
      <c r="Z17" s="34" t="s">
        <v>444</v>
      </c>
      <c r="AA17" s="34"/>
      <c r="AB17" s="34"/>
      <c r="AC17" s="35" t="s">
        <v>445</v>
      </c>
      <c r="AD17" s="34"/>
      <c r="AE17" s="36"/>
      <c r="AF17" s="34"/>
      <c r="AG17" s="33" t="s">
        <v>442</v>
      </c>
      <c r="AH17" s="33"/>
      <c r="AI17" s="33"/>
      <c r="AJ17" s="37" t="s">
        <v>443</v>
      </c>
      <c r="AK17" s="37"/>
      <c r="AL17" s="37"/>
      <c r="AM17" s="34" t="s">
        <v>446</v>
      </c>
      <c r="AN17" s="34"/>
      <c r="AO17" s="34"/>
      <c r="AP17" s="38" t="s">
        <v>445</v>
      </c>
      <c r="AQ17" s="37"/>
      <c r="AR17" s="39"/>
      <c r="AS17" s="32"/>
      <c r="AT17" s="34" t="s">
        <v>447</v>
      </c>
      <c r="AU17" s="34"/>
      <c r="AV17" s="34"/>
      <c r="AW17" s="34" t="s">
        <v>448</v>
      </c>
      <c r="AX17" s="34"/>
      <c r="AY17" s="34"/>
      <c r="AZ17" s="34" t="s">
        <v>449</v>
      </c>
      <c r="BA17" s="34"/>
      <c r="BB17" s="34"/>
      <c r="BC17" s="35" t="s">
        <v>445</v>
      </c>
      <c r="BD17" s="34"/>
      <c r="BE17" s="36"/>
      <c r="BF17" s="35" t="s">
        <v>445</v>
      </c>
      <c r="BG17" s="34"/>
      <c r="BH17" s="36"/>
      <c r="BI17" s="35" t="s">
        <v>445</v>
      </c>
      <c r="BJ17" s="34"/>
      <c r="BK17" s="36"/>
      <c r="BL17" s="32"/>
      <c r="BM17" s="31"/>
      <c r="BO17" s="80"/>
      <c r="BP17" s="80"/>
    </row>
    <row r="18" ht="15.75" spans="1:68">
      <c r="A18" t="s">
        <v>470</v>
      </c>
      <c r="B18">
        <f>VOUT/(VOUT+VIN_var)</f>
        <v>0.714285714285714</v>
      </c>
      <c r="N18" s="7"/>
      <c r="O18" s="83" t="s">
        <v>471</v>
      </c>
      <c r="P18" s="72" t="s">
        <v>450</v>
      </c>
      <c r="Q18" s="73" t="s">
        <v>451</v>
      </c>
      <c r="R18" s="72" t="s">
        <v>452</v>
      </c>
      <c r="S18" s="72" t="s">
        <v>453</v>
      </c>
      <c r="T18" s="72" t="s">
        <v>451</v>
      </c>
      <c r="U18" s="72" t="s">
        <v>452</v>
      </c>
      <c r="V18" s="72" t="s">
        <v>453</v>
      </c>
      <c r="W18" s="49" t="s">
        <v>451</v>
      </c>
      <c r="X18" s="72" t="s">
        <v>452</v>
      </c>
      <c r="Y18" s="72" t="s">
        <v>453</v>
      </c>
      <c r="Z18" s="49" t="s">
        <v>451</v>
      </c>
      <c r="AA18" s="49" t="s">
        <v>452</v>
      </c>
      <c r="AB18" s="49" t="s">
        <v>453</v>
      </c>
      <c r="AC18" s="48" t="s">
        <v>454</v>
      </c>
      <c r="AD18" s="49" t="s">
        <v>452</v>
      </c>
      <c r="AE18" s="50" t="s">
        <v>453</v>
      </c>
      <c r="AF18" s="84" t="s">
        <v>450</v>
      </c>
      <c r="AG18" s="47" t="s">
        <v>451</v>
      </c>
      <c r="AH18" s="47" t="s">
        <v>455</v>
      </c>
      <c r="AI18" s="47" t="s">
        <v>453</v>
      </c>
      <c r="AJ18" s="47" t="s">
        <v>451</v>
      </c>
      <c r="AK18" s="47" t="s">
        <v>455</v>
      </c>
      <c r="AL18" s="47" t="s">
        <v>453</v>
      </c>
      <c r="AM18" s="47" t="s">
        <v>451</v>
      </c>
      <c r="AN18" s="47" t="s">
        <v>455</v>
      </c>
      <c r="AO18" s="47" t="s">
        <v>453</v>
      </c>
      <c r="AP18" s="48" t="s">
        <v>454</v>
      </c>
      <c r="AQ18" s="49" t="s">
        <v>452</v>
      </c>
      <c r="AR18" s="50" t="s">
        <v>453</v>
      </c>
      <c r="AS18" s="72" t="s">
        <v>456</v>
      </c>
      <c r="AT18" s="49" t="s">
        <v>451</v>
      </c>
      <c r="AU18" s="49" t="s">
        <v>455</v>
      </c>
      <c r="AV18" s="49" t="s">
        <v>453</v>
      </c>
      <c r="AW18" s="49" t="s">
        <v>451</v>
      </c>
      <c r="AX18" s="49" t="s">
        <v>455</v>
      </c>
      <c r="AY18" s="49" t="s">
        <v>453</v>
      </c>
      <c r="AZ18" s="49" t="s">
        <v>451</v>
      </c>
      <c r="BA18" s="49" t="s">
        <v>455</v>
      </c>
      <c r="BB18" s="49" t="s">
        <v>453</v>
      </c>
      <c r="BC18" s="48" t="s">
        <v>454</v>
      </c>
      <c r="BD18" s="49" t="s">
        <v>452</v>
      </c>
      <c r="BE18" s="50" t="s">
        <v>453</v>
      </c>
      <c r="BF18" s="48" t="s">
        <v>454</v>
      </c>
      <c r="BG18" s="49" t="s">
        <v>452</v>
      </c>
      <c r="BH18" s="50" t="s">
        <v>453</v>
      </c>
      <c r="BI18" s="48" t="s">
        <v>454</v>
      </c>
      <c r="BJ18" s="49" t="s">
        <v>452</v>
      </c>
      <c r="BK18" s="50" t="s">
        <v>453</v>
      </c>
      <c r="BL18" s="43" t="s">
        <v>472</v>
      </c>
      <c r="BM18" s="45" t="s">
        <v>473</v>
      </c>
      <c r="BO18" s="80" t="s">
        <v>474</v>
      </c>
      <c r="BP18" s="80" t="s">
        <v>475</v>
      </c>
    </row>
    <row r="19" spans="1:68">
      <c r="A19" t="s">
        <v>115</v>
      </c>
      <c r="B19" s="85">
        <f>VOUT</f>
        <v>10</v>
      </c>
      <c r="C19" t="s">
        <v>7</v>
      </c>
      <c r="E19" t="s">
        <v>476</v>
      </c>
      <c r="N19" s="7">
        <v>1</v>
      </c>
      <c r="O19" s="18">
        <f>10^(1+(N19/100))</f>
        <v>10.2329299228075</v>
      </c>
      <c r="P19" s="86" t="str">
        <f t="shared" ref="P19:P82" si="50">COMPLEX(Adc,0)</f>
        <v>60</v>
      </c>
      <c r="Q19" s="4" t="str">
        <f t="shared" ref="Q19:Q82" si="51">IMSUM(COMPLEX(1,0),IMDIV(COMPLEX(0,2*PI()*O19),COMPLEX(wp_lf,0)))</f>
        <v>1+0,0840126493887663i</v>
      </c>
      <c r="R19" s="4">
        <f>IMABS(Q19)</f>
        <v>1.00352285736665</v>
      </c>
      <c r="S19" s="4">
        <f>IMARGUMENT(Q19)</f>
        <v>0.0838158249781006</v>
      </c>
      <c r="T19" s="4" t="str">
        <f t="shared" ref="T19:T82" si="52">IMSUM(COMPLEX(1,0),IMDIV(COMPLEX(0,2*PI()*O19),COMPLEX(wz_esr,0)))</f>
        <v>1+0,0010081517926652i</v>
      </c>
      <c r="U19" s="4">
        <f>IMABS(T19)</f>
        <v>1.00000050818489</v>
      </c>
      <c r="V19" s="4">
        <f>IMARGUMENT(T19)</f>
        <v>0.00100815145111365</v>
      </c>
      <c r="W19" t="str">
        <f t="shared" ref="W19:W82" si="53">IMSUB(COMPLEX(1,0),IMDIV(COMPLEX(0,2*PI()*O19),COMPLEX(wz_rhp,0)))</f>
        <v>1-0,00140646176432087i</v>
      </c>
      <c r="X19" s="4">
        <f>IMABS(W19)</f>
        <v>1.00000098906686</v>
      </c>
      <c r="Y19" s="4">
        <f>IMARGUMENT(W19)</f>
        <v>-0.0014064608369317</v>
      </c>
      <c r="Z19" t="str">
        <f t="shared" ref="Z19:Z82" si="54">IMSUM(COMPLEX(1,0),IMDIV(COMPLEX(0,2*PI()*O19),COMPLEX(Q*(wsl/2),0)),IMDIV(IMPOWER(COMPLEX(0,2*PI()*O19),2),IMPOWER(COMPLEX(wsl/2,0),2)))</f>
        <v>0,999999999145201+0,00037527516230509i</v>
      </c>
      <c r="AA19" s="4">
        <f>IMABS(Z19)</f>
        <v>1.00000006956092</v>
      </c>
      <c r="AB19" s="4">
        <f>IMARGUMENT(Z19)</f>
        <v>0.000375275145009028</v>
      </c>
      <c r="AC19" s="67" t="str">
        <f>(IMDIV(IMPRODUCT(P19,T19,W19),IMPRODUCT(Q19,Z19)))</f>
        <v>59,5756756689612-5,05152548556192i</v>
      </c>
      <c r="AD19" s="68">
        <f>20*LOG(IMABS(AC19))</f>
        <v>35.5324920301058</v>
      </c>
      <c r="AE19" s="31">
        <f>(180/PI())*IMARGUMENT(AC19)</f>
        <v>-4.84661615636535</v>
      </c>
      <c r="AF19" s="32" t="str">
        <f>COMPLEX($B$68,0)</f>
        <v>326,048966736478</v>
      </c>
      <c r="AG19" s="32" t="str">
        <f t="shared" ref="AG19:AG82" si="55">IMSUM(COMPLEX(1,0),IMDIV(COMPLEX(0,2*PI()*O19),COMPLEX(wp_lf_DCM,0)))</f>
        <v>1+0,0540081317499212i</v>
      </c>
      <c r="AH19" s="32">
        <f>IMABS(AG19)</f>
        <v>1.00145737717345</v>
      </c>
      <c r="AI19" s="32">
        <f>IMARGUMENT(AG19)</f>
        <v>0.0539557117452945</v>
      </c>
      <c r="AJ19" s="32" t="str">
        <f t="shared" ref="AJ19:AJ82" si="56">IMSUM(COMPLEX(1,0),IMDIV(COMPLEX(0,2*PI()*O19),COMPLEX(wz1_dcm,0)))</f>
        <v>1+0,0010081517926652i</v>
      </c>
      <c r="AK19" s="32">
        <f>IMABS(AJ19)</f>
        <v>1.00000050818489</v>
      </c>
      <c r="AL19" s="32">
        <f>IMARGUMENT(AJ19)</f>
        <v>0.00100815145111365</v>
      </c>
      <c r="AM19" s="32" t="str">
        <f t="shared" ref="AM19:AM82" si="57">IMSUB(COMPLEX(1,0),IMDIV(COMPLEX(0,2*PI()*O19),COMPLEX(wz2_dcm,0)))</f>
        <v>1-0,000166380141272522i</v>
      </c>
      <c r="AN19" s="32">
        <f>IMABS(AM19)</f>
        <v>1.00000001384118</v>
      </c>
      <c r="AO19" s="32">
        <f>IMARGUMENT(AM19)</f>
        <v>-0.000166380139737258</v>
      </c>
      <c r="AP19" s="30" t="str">
        <f>(IMDIV(IMPRODUCT(AF19,AJ19,AM19),IMPRODUCT(AG19)))</f>
        <v>325,115522022973-17,2844231701965i</v>
      </c>
      <c r="AQ19" s="32">
        <f>20*LOG(IMABS(AP19))</f>
        <v>50.2530116971545</v>
      </c>
      <c r="AR19" s="31">
        <f>(180/PI())*IMARGUMENT(AP19)</f>
        <v>-3.04320462017276</v>
      </c>
      <c r="AS19" t="str">
        <f t="shared" ref="AS19:AS82" si="58">COMPLEX(Adc_ea,0)</f>
        <v>-0,000100699300699301</v>
      </c>
      <c r="AT19" t="str">
        <f t="shared" ref="AT19:AT82" si="59">COMPLEX(0,2*PI()*O19*wp0_ea)</f>
        <v>0,0000144471752431039i</v>
      </c>
      <c r="AU19">
        <f>IMABS(AT19)</f>
        <v>1.44471752431039e-5</v>
      </c>
      <c r="AV19">
        <f>IMARGUMENT(AT19)</f>
        <v>1.5707963267949</v>
      </c>
      <c r="AW19" t="str">
        <f t="shared" ref="AW19:AW82" si="60">IMSUM(COMPLEX(1,0),IMDIV(COMPLEX(0,2*PI()*O19),COMPLEX(wp1_ea,0)))</f>
        <v>1+0,000739668873702219i</v>
      </c>
      <c r="AX19">
        <f>IMABS(AW19)</f>
        <v>1.00000027355498</v>
      </c>
      <c r="AY19">
        <f>IMARGUMENT(AW19)</f>
        <v>0.00073966873880884</v>
      </c>
      <c r="AZ19" t="str">
        <f t="shared" ref="AZ19:AZ82" si="61">IMSUM(COMPLEX(1,0),IMDIV(COMPLEX(0,2*PI()*O19),COMPLEX(wz_ea,0)))</f>
        <v>1+0,0353624672172103i</v>
      </c>
      <c r="BA19">
        <f>IMABS(AZ19)</f>
        <v>1.00062505669591</v>
      </c>
      <c r="BB19">
        <f>IMARGUMENT(AZ19)</f>
        <v>0.0353477379637583</v>
      </c>
      <c r="BC19" s="30" t="str">
        <f>IMPRODUCT(AS19,IMDIV(AZ19,IMPRODUCT(AT19,AW19)))</f>
        <v>-0,241326737945875+6,97035080233138i</v>
      </c>
      <c r="BD19" s="32">
        <f>20*LOG(IMABS(BC19))</f>
        <v>16.8702953784052</v>
      </c>
      <c r="BE19" s="31">
        <f>(180/PI())*IMARGUMENT(BC19)</f>
        <v>91.9828963036862</v>
      </c>
      <c r="BF19" s="30" t="str">
        <f>IMPRODUCT(AC19,BC19)</f>
        <v>20,8337012511721+416,482426865659i</v>
      </c>
      <c r="BG19" s="68">
        <f>20*LOG(IMABS(BF19))</f>
        <v>52.402787408511</v>
      </c>
      <c r="BH19" s="31">
        <f>(180/PI())*IMARGUMENT(BF19)</f>
        <v>87.1362801473208</v>
      </c>
      <c r="BI19" s="30" t="str">
        <f>IMPRODUCT(AP19,BC19)</f>
        <v>42,0194245268399+2270,34043324416i</v>
      </c>
      <c r="BJ19" s="68">
        <f>20*LOG(IMABS(BI19))</f>
        <v>67.1233070755597</v>
      </c>
      <c r="BK19" s="31">
        <f>(180/PI())*IMARGUMENT(BI19)</f>
        <v>88.9396916835134</v>
      </c>
      <c r="BL19" s="32">
        <f>IF($B$31=0,BJ19,BG19)</f>
        <v>52.402787408511</v>
      </c>
      <c r="BM19" s="31">
        <f>IF($B$31=0,BK19,BH19)</f>
        <v>87.1362801473208</v>
      </c>
      <c r="BO19">
        <f>SUM((BL20&lt;0)*(BL19&gt;0))*O19</f>
        <v>0</v>
      </c>
      <c r="BP19">
        <f>IF(BO19&gt;0,BM19,0)</f>
        <v>0</v>
      </c>
    </row>
    <row r="20" spans="1:68">
      <c r="A20" t="s">
        <v>117</v>
      </c>
      <c r="B20" s="85">
        <f>IOUT</f>
        <v>2.5</v>
      </c>
      <c r="C20" t="s">
        <v>12</v>
      </c>
      <c r="E20" t="s">
        <v>118</v>
      </c>
      <c r="N20" s="7">
        <v>2</v>
      </c>
      <c r="O20" s="18">
        <f t="shared" ref="O20:O83" si="62">10^(1+(N20/100))</f>
        <v>10.471285480509</v>
      </c>
      <c r="P20" s="86" t="str">
        <f t="shared" si="50"/>
        <v>60</v>
      </c>
      <c r="Q20" s="4" t="str">
        <f t="shared" si="51"/>
        <v>1+0,085969555382465i</v>
      </c>
      <c r="R20" s="4">
        <f t="shared" ref="R20:R83" si="63">IMABS(Q20)</f>
        <v>1.00368857941727</v>
      </c>
      <c r="S20" s="4">
        <f t="shared" ref="S20:S83" si="64">IMARGUMENT(Q20)</f>
        <v>0.0857586960645923</v>
      </c>
      <c r="T20" s="4" t="str">
        <f t="shared" si="52"/>
        <v>1+0,00103163466458958i</v>
      </c>
      <c r="U20" s="4">
        <f t="shared" ref="U20:U83" si="65">IMABS(T20)</f>
        <v>1.0000005321349</v>
      </c>
      <c r="V20" s="4">
        <f t="shared" ref="V20:V83" si="66">IMARGUMENT(T20)</f>
        <v>0.00103163429861051</v>
      </c>
      <c r="W20" t="str">
        <f t="shared" si="53"/>
        <v>1-0,00143922246734037i</v>
      </c>
      <c r="X20" s="4">
        <f t="shared" ref="X20:X83" si="67">IMABS(W20)</f>
        <v>1.00000103568012</v>
      </c>
      <c r="Y20" s="4">
        <f t="shared" ref="Y20:Y83" si="68">IMARGUMENT(W20)</f>
        <v>-0.00143922147362503</v>
      </c>
      <c r="Z20" t="str">
        <f t="shared" si="54"/>
        <v>0,999999999104916+0,000384016443763823i</v>
      </c>
      <c r="AA20" s="4">
        <f t="shared" ref="AA20:AA83" si="69">IMABS(Z20)</f>
        <v>1.00000007283923</v>
      </c>
      <c r="AB20" s="4">
        <f t="shared" ref="AB20:AB83" si="70">IMARGUMENT(Z20)</f>
        <v>0.000384016425230759</v>
      </c>
      <c r="AC20" s="67" t="str">
        <f t="shared" ref="AC20:AC83" si="71">(IMDIV(IMPRODUCT(P20,T20,W20),IMPRODUCT(Q20,Z20)))</f>
        <v>59,5558245938509-5,16748404282938i</v>
      </c>
      <c r="AD20" s="68">
        <f t="shared" ref="AD20:AD83" si="72">20*LOG(IMABS(AC20))</f>
        <v>35.5310583426699</v>
      </c>
      <c r="AE20" s="31">
        <f t="shared" ref="AE20:AE83" si="73">(180/PI())*IMARGUMENT(AC20)</f>
        <v>-4.95896688638773</v>
      </c>
      <c r="AF20" s="32" t="str">
        <f t="shared" ref="AF20:AF83" si="74">COMPLEX($B$68,0)</f>
        <v>326,048966736478</v>
      </c>
      <c r="AG20" s="32" t="str">
        <f t="shared" si="55"/>
        <v>1+0,0552661427458704i</v>
      </c>
      <c r="AH20" s="32">
        <f t="shared" ref="AH20:AH83" si="75">IMABS(AG20)</f>
        <v>1.0015260089154</v>
      </c>
      <c r="AI20" s="32">
        <f t="shared" ref="AI20:AI83" si="76">IMARGUMENT(AG20)</f>
        <v>0.0552099783201878</v>
      </c>
      <c r="AJ20" s="32" t="str">
        <f t="shared" si="56"/>
        <v>1+0,00103163466458958i</v>
      </c>
      <c r="AK20" s="32">
        <f t="shared" ref="AK20:AK83" si="77">IMABS(AJ20)</f>
        <v>1.0000005321349</v>
      </c>
      <c r="AL20" s="32">
        <f t="shared" ref="AL20:AL83" si="78">IMARGUMENT(AJ20)</f>
        <v>0.00103163429861051</v>
      </c>
      <c r="AM20" s="32" t="str">
        <f t="shared" si="57"/>
        <v>1-0,000170255632618855i</v>
      </c>
      <c r="AN20" s="32">
        <f t="shared" ref="AN20:AN83" si="79">IMABS(AM20)</f>
        <v>1.00000001449349</v>
      </c>
      <c r="AO20" s="32">
        <f t="shared" ref="AO20:AO83" si="80">IMARGUMENT(AM20)</f>
        <v>-0.000170255630973789</v>
      </c>
      <c r="AP20" s="30" t="str">
        <f t="shared" ref="AP20:AP83" si="81">(IMDIV(IMPRODUCT(AF20,AJ20,AM20),IMPRODUCT(AG20)))</f>
        <v>325,071664086276-17,6846052466873i</v>
      </c>
      <c r="AQ20" s="32">
        <f t="shared" ref="AQ20:AQ83" si="82">20*LOG(IMABS(AP20))</f>
        <v>50.252416671026</v>
      </c>
      <c r="AR20" s="31">
        <f t="shared" ref="AR20:AR83" si="83">(180/PI())*IMARGUMENT(AP20)</f>
        <v>-3.11394538253736</v>
      </c>
      <c r="AS20" t="str">
        <f t="shared" si="58"/>
        <v>-0,000100699300699301</v>
      </c>
      <c r="AT20" t="str">
        <f t="shared" si="59"/>
        <v>0,0000147836931845203i</v>
      </c>
      <c r="AU20">
        <f t="shared" ref="AU20:AU83" si="84">IMABS(AT20)</f>
        <v>1.47836931845203e-5</v>
      </c>
      <c r="AV20">
        <f t="shared" ref="AV20:AV83" si="85">IMARGUMENT(AT20)</f>
        <v>1.5707963267949</v>
      </c>
      <c r="AW20" t="str">
        <f t="shared" si="60"/>
        <v>1+0,000756897975067682i</v>
      </c>
      <c r="AX20">
        <f t="shared" ref="AX20:AX83" si="86">IMABS(AW20)</f>
        <v>1.00000028644723</v>
      </c>
      <c r="AY20">
        <f t="shared" ref="AY20:AY83" si="87">IMARGUMENT(AW20)</f>
        <v>0.000756897830526825</v>
      </c>
      <c r="AZ20" t="str">
        <f t="shared" si="61"/>
        <v>1+0,0361861648931294i</v>
      </c>
      <c r="BA20">
        <f t="shared" ref="BA20:BA83" si="88">IMABS(AZ20)</f>
        <v>1.00065450507639</v>
      </c>
      <c r="BB20">
        <f t="shared" ref="BB20:BB83" si="89">IMARGUMENT(AZ20)</f>
        <v>0.0361703827711888</v>
      </c>
      <c r="BC20" s="30" t="str">
        <f t="shared" ref="BC20:BC83" si="90">IMPRODUCT(AS20,IMDIV(AZ20,IMPRODUCT(AT20,AW20)))</f>
        <v>-0,241326731723389+6,81169446819427i</v>
      </c>
      <c r="BD20" s="32">
        <f t="shared" ref="BD20:BD83" si="91">20*LOG(IMABS(BC20))</f>
        <v>16.6705508882654</v>
      </c>
      <c r="BE20" s="31">
        <f t="shared" ref="BE20:BE83" si="92">(180/PI())*IMARGUMENT(BC20)</f>
        <v>92.02904322495</v>
      </c>
      <c r="BF20" s="30" t="str">
        <f t="shared" ref="BF20:BF83" si="93">IMPRODUCT(AC20,BC20)</f>
        <v>20,8269099646976+406,923132969971i</v>
      </c>
      <c r="BG20" s="68">
        <f t="shared" ref="BG20:BG83" si="94">20*LOG(IMABS(BF20))</f>
        <v>52.2016092309354</v>
      </c>
      <c r="BH20" s="31">
        <f t="shared" ref="BH20:BH83" si="95">(180/PI())*IMARGUMENT(BF20)</f>
        <v>87.0700763385623</v>
      </c>
      <c r="BI20" s="30" t="str">
        <f t="shared" ref="BI20:BI49" si="96">IMPRODUCT(AP20,BC20)</f>
        <v>42,0136454612349+2218,55662400919i</v>
      </c>
      <c r="BJ20" s="68">
        <f t="shared" ref="BJ20:BJ83" si="97">20*LOG(IMABS(BI20))</f>
        <v>66.9229675592914</v>
      </c>
      <c r="BK20" s="31">
        <f t="shared" ref="BK20:BK49" si="98">(180/PI())*IMARGUMENT(BI20)</f>
        <v>88.9150978424127</v>
      </c>
      <c r="BL20" s="32">
        <f t="shared" ref="BL20:BL83" si="99">IF($B$31=0,BJ20,BG20)</f>
        <v>52.2016092309354</v>
      </c>
      <c r="BM20" s="31">
        <f t="shared" ref="BM20:BM83" si="100">IF($B$31=0,BK20,BH20)</f>
        <v>87.0700763385623</v>
      </c>
      <c r="BO20">
        <f t="shared" ref="BO20:BO83" si="101">SUM((BL21&lt;0)*(BL20&gt;0))*O20</f>
        <v>0</v>
      </c>
      <c r="BP20">
        <f t="shared" ref="BP20:BP83" si="102">IF(BO20&gt;0,BM20,0)</f>
        <v>0</v>
      </c>
    </row>
    <row r="21" customFormat="1" spans="1:68">
      <c r="N21" s="7">
        <v>3</v>
      </c>
      <c r="O21" s="18">
        <f t="shared" si="62"/>
        <v>10.7151930523761</v>
      </c>
      <c r="P21" s="86" t="str">
        <f t="shared" si="50"/>
        <v>60</v>
      </c>
      <c r="Q21" s="4" t="str">
        <f t="shared" si="51"/>
        <v>1+0,0879720435723688i</v>
      </c>
      <c r="R21" s="4">
        <f t="shared" si="63"/>
        <v>1.00386208238498</v>
      </c>
      <c r="S21" s="4">
        <f t="shared" si="64"/>
        <v>0.0877461506627966</v>
      </c>
      <c r="T21" s="4" t="str">
        <f t="shared" si="52"/>
        <v>1+0,00105566452286843i</v>
      </c>
      <c r="U21" s="4">
        <f t="shared" si="65"/>
        <v>1.00000055721364</v>
      </c>
      <c r="V21" s="4">
        <f t="shared" si="66"/>
        <v>0.0010556641307148</v>
      </c>
      <c r="W21" t="str">
        <f t="shared" si="53"/>
        <v>1-0,00147274626516243i</v>
      </c>
      <c r="X21" s="4">
        <f t="shared" si="67"/>
        <v>1.00000108449019</v>
      </c>
      <c r="Y21" s="4">
        <f t="shared" si="68"/>
        <v>-0.00147274520037732</v>
      </c>
      <c r="Z21" t="str">
        <f t="shared" si="54"/>
        <v>0,999999999062732+0,000392961335824097i</v>
      </c>
      <c r="AA21" s="4">
        <f t="shared" si="69"/>
        <v>1.00000007627203</v>
      </c>
      <c r="AB21" s="4">
        <f t="shared" si="70"/>
        <v>0.000392961315965561</v>
      </c>
      <c r="AC21" s="67" t="str">
        <f t="shared" si="71"/>
        <v>59,5350520124417-5,28602280362819i</v>
      </c>
      <c r="AD21" s="68">
        <f t="shared" si="72"/>
        <v>35.5295575951383</v>
      </c>
      <c r="AE21" s="31">
        <f t="shared" si="73"/>
        <v>-5.07389611142049</v>
      </c>
      <c r="AF21" s="32" t="str">
        <f t="shared" si="74"/>
        <v>326,048966736478</v>
      </c>
      <c r="AG21" s="32" t="str">
        <f t="shared" si="55"/>
        <v>1+0,0565534565822372i</v>
      </c>
      <c r="AH21" s="32">
        <f t="shared" si="75"/>
        <v>1.00159787013122</v>
      </c>
      <c r="AI21" s="32">
        <f t="shared" si="76"/>
        <v>0.0564932804999455</v>
      </c>
      <c r="AJ21" s="32" t="str">
        <f t="shared" si="56"/>
        <v>1+0,00105566452286843i</v>
      </c>
      <c r="AK21" s="32">
        <f t="shared" si="77"/>
        <v>1.00000055721364</v>
      </c>
      <c r="AL21" s="32">
        <f t="shared" si="78"/>
        <v>0.0010556641307148</v>
      </c>
      <c r="AM21" s="32" t="str">
        <f t="shared" si="57"/>
        <v>1-0,000174221395755201i</v>
      </c>
      <c r="AN21" s="32">
        <f t="shared" si="79"/>
        <v>1.00000001517655</v>
      </c>
      <c r="AO21" s="32">
        <f t="shared" si="80"/>
        <v>-0.000174221393992482</v>
      </c>
      <c r="AP21" s="30" t="str">
        <f t="shared" si="81"/>
        <v>325,025752071463-18,0939361370502i</v>
      </c>
      <c r="AQ21" s="32">
        <f t="shared" si="82"/>
        <v>50.2517936896087</v>
      </c>
      <c r="AR21" s="31">
        <f t="shared" si="83"/>
        <v>-3.18632359479893</v>
      </c>
      <c r="AS21" t="str">
        <f t="shared" si="58"/>
        <v>-0,000100699300699301</v>
      </c>
      <c r="AT21" t="str">
        <f t="shared" si="59"/>
        <v>0,0000151280496357484i</v>
      </c>
      <c r="AU21">
        <f t="shared" si="84"/>
        <v>1.51280496357484e-5</v>
      </c>
      <c r="AV21">
        <f t="shared" si="85"/>
        <v>1.5707963267949</v>
      </c>
      <c r="AW21" t="str">
        <f t="shared" si="60"/>
        <v>1+0,000774528393758255i</v>
      </c>
      <c r="AX21">
        <f t="shared" si="86"/>
        <v>1.00000029994707</v>
      </c>
      <c r="AY21">
        <f t="shared" si="87"/>
        <v>0.000774528238879939</v>
      </c>
      <c r="AZ21" t="str">
        <f t="shared" si="61"/>
        <v>1+0,0370290489526552i</v>
      </c>
      <c r="BA21">
        <f t="shared" si="88"/>
        <v>1.00068534038745</v>
      </c>
      <c r="BB21">
        <f t="shared" si="89"/>
        <v>0.0370121387297729</v>
      </c>
      <c r="BC21" s="30" t="str">
        <f t="shared" si="90"/>
        <v>-0,241326725207646+6,65664978462723i</v>
      </c>
      <c r="BD21" s="32">
        <f t="shared" si="91"/>
        <v>16.4708184238095</v>
      </c>
      <c r="BE21" s="31">
        <f t="shared" si="92"/>
        <v>92.0762621407672</v>
      </c>
      <c r="BF21" s="30" t="str">
        <f t="shared" si="93"/>
        <v>20,8198034200768+397,579649728963i</v>
      </c>
      <c r="BG21" s="68">
        <f t="shared" si="94"/>
        <v>52.0003760189477</v>
      </c>
      <c r="BH21" s="31">
        <f t="shared" si="95"/>
        <v>87.0023660293467</v>
      </c>
      <c r="BI21" s="30" t="str">
        <f t="shared" si="96"/>
        <v>42,0075957341956+2167,94915287888i</v>
      </c>
      <c r="BJ21" s="68">
        <f t="shared" si="97"/>
        <v>66.7226121134181</v>
      </c>
      <c r="BK21" s="31">
        <f t="shared" si="98"/>
        <v>88.8899385459682</v>
      </c>
      <c r="BL21" s="32">
        <f t="shared" si="99"/>
        <v>52.0003760189477</v>
      </c>
      <c r="BM21" s="31">
        <f t="shared" si="100"/>
        <v>87.0023660293467</v>
      </c>
      <c r="BO21">
        <f t="shared" si="101"/>
        <v>0</v>
      </c>
      <c r="BP21">
        <f t="shared" si="102"/>
        <v>0</v>
      </c>
    </row>
    <row r="22" spans="1:68">
      <c r="A22" t="s">
        <v>477</v>
      </c>
      <c r="N22" s="7">
        <v>4</v>
      </c>
      <c r="O22" s="18">
        <f t="shared" si="62"/>
        <v>10.9647819614319</v>
      </c>
      <c r="P22" s="86" t="str">
        <f t="shared" si="50"/>
        <v>60</v>
      </c>
      <c r="Q22" s="4" t="str">
        <f t="shared" si="51"/>
        <v>1+0,0900211757042223i</v>
      </c>
      <c r="R22" s="4">
        <f t="shared" si="63"/>
        <v>1.00404373016078</v>
      </c>
      <c r="S22" s="4">
        <f t="shared" si="64"/>
        <v>0.0897791797094293</v>
      </c>
      <c r="T22" s="4" t="str">
        <f t="shared" si="52"/>
        <v>1+0,00108025410845067i</v>
      </c>
      <c r="U22" s="4">
        <f t="shared" si="65"/>
        <v>1.0000005834743</v>
      </c>
      <c r="V22" s="4">
        <f t="shared" si="66"/>
        <v>0.0010802536882505</v>
      </c>
      <c r="W22" t="str">
        <f t="shared" si="53"/>
        <v>1-0,00150705093254837i</v>
      </c>
      <c r="X22" s="4">
        <f t="shared" si="67"/>
        <v>1.00000113560061</v>
      </c>
      <c r="Y22" s="4">
        <f t="shared" si="68"/>
        <v>-0.00150704979161064</v>
      </c>
      <c r="Z22" t="str">
        <f t="shared" si="54"/>
        <v>0,99999999901856+0,000402114581186084i</v>
      </c>
      <c r="AA22" s="4">
        <f t="shared" si="69"/>
        <v>1.00000007986663</v>
      </c>
      <c r="AB22" s="4">
        <f t="shared" si="70"/>
        <v>0.000402114559907279</v>
      </c>
      <c r="AC22" s="67" t="str">
        <f t="shared" si="71"/>
        <v>59,5133158346416-5,40719337711726i</v>
      </c>
      <c r="AD22" s="68">
        <f t="shared" si="72"/>
        <v>35.5279866756448</v>
      </c>
      <c r="AE22" s="31">
        <f t="shared" si="73"/>
        <v>-5.19146116809547</v>
      </c>
      <c r="AF22" s="32" t="str">
        <f t="shared" si="74"/>
        <v>326,048966736478</v>
      </c>
      <c r="AG22" s="32" t="str">
        <f t="shared" si="55"/>
        <v>1+0,0578707558098573i</v>
      </c>
      <c r="AH22" s="32">
        <f t="shared" si="75"/>
        <v>1.00167311253622</v>
      </c>
      <c r="AI22" s="32">
        <f t="shared" si="76"/>
        <v>0.0578062817913975</v>
      </c>
      <c r="AJ22" s="32" t="str">
        <f t="shared" si="56"/>
        <v>1+0,00108025410845067i</v>
      </c>
      <c r="AK22" s="32">
        <f t="shared" si="77"/>
        <v>1.0000005834743</v>
      </c>
      <c r="AL22" s="32">
        <f t="shared" si="78"/>
        <v>0.0010802536882505</v>
      </c>
      <c r="AM22" s="32" t="str">
        <f t="shared" si="57"/>
        <v>1-0,000178279533381669i</v>
      </c>
      <c r="AN22" s="32">
        <f t="shared" si="79"/>
        <v>1.0000000158918</v>
      </c>
      <c r="AO22" s="32">
        <f t="shared" si="80"/>
        <v>-0.000178279531492881</v>
      </c>
      <c r="AP22" s="30" t="str">
        <f t="shared" si="81"/>
        <v>324,977690409633-18,5126166871235i</v>
      </c>
      <c r="AQ22" s="32">
        <f t="shared" si="82"/>
        <v>50.2511414438176</v>
      </c>
      <c r="AR22" s="31">
        <f t="shared" si="83"/>
        <v>-3.26037666357894</v>
      </c>
      <c r="AS22" t="str">
        <f t="shared" si="58"/>
        <v>-0,000100699300699301</v>
      </c>
      <c r="AT22" t="str">
        <f t="shared" si="59"/>
        <v>0,0000154804271791368i</v>
      </c>
      <c r="AU22">
        <f t="shared" si="84"/>
        <v>1.54804271791368e-5</v>
      </c>
      <c r="AV22">
        <f t="shared" si="85"/>
        <v>1.5707963267949</v>
      </c>
      <c r="AW22" t="str">
        <f t="shared" si="60"/>
        <v>1+0,000792569477655292i</v>
      </c>
      <c r="AX22">
        <f t="shared" si="86"/>
        <v>1.00000031408314</v>
      </c>
      <c r="AY22">
        <f t="shared" si="87"/>
        <v>0.000792569311700189</v>
      </c>
      <c r="AZ22" t="str">
        <f t="shared" si="61"/>
        <v>1+0,0378915663040731i</v>
      </c>
      <c r="BA22">
        <f t="shared" si="88"/>
        <v>1.00071762790358</v>
      </c>
      <c r="BB22">
        <f t="shared" si="89"/>
        <v>0.0378734473755072</v>
      </c>
      <c r="BC22" s="30" t="str">
        <f t="shared" si="90"/>
        <v>-0,241326718384825+6,50513454488668i</v>
      </c>
      <c r="BD22" s="32">
        <f t="shared" si="91"/>
        <v>16.2710985502367</v>
      </c>
      <c r="BE22" s="31">
        <f t="shared" si="92"/>
        <v>92.1245778136954</v>
      </c>
      <c r="BF22" s="30" t="str">
        <f t="shared" si="93"/>
        <v>20,8123672177943+388,44702695005i</v>
      </c>
      <c r="BG22" s="68">
        <f t="shared" si="94"/>
        <v>51.7990852258814</v>
      </c>
      <c r="BH22" s="31">
        <f t="shared" si="95"/>
        <v>86.9331166455999</v>
      </c>
      <c r="BI22" s="30" t="str">
        <f t="shared" si="96"/>
        <v>42,0012627528163+2118,49118923501i</v>
      </c>
      <c r="BJ22" s="68">
        <f t="shared" si="97"/>
        <v>66.5222399940542</v>
      </c>
      <c r="BK22" s="31">
        <f t="shared" si="98"/>
        <v>88.8642011501164</v>
      </c>
      <c r="BL22" s="32">
        <f t="shared" si="99"/>
        <v>51.7990852258814</v>
      </c>
      <c r="BM22" s="31">
        <f t="shared" si="100"/>
        <v>86.9331166455999</v>
      </c>
      <c r="BO22">
        <f t="shared" si="101"/>
        <v>0</v>
      </c>
      <c r="BP22">
        <f t="shared" si="102"/>
        <v>0</v>
      </c>
    </row>
    <row r="23" spans="1:68">
      <c r="A23" t="s">
        <v>478</v>
      </c>
      <c r="B23" s="85">
        <f>Lm</f>
        <v>1e-5</v>
      </c>
      <c r="C23" t="s">
        <v>139</v>
      </c>
      <c r="E23" t="s">
        <v>479</v>
      </c>
      <c r="N23" s="7">
        <v>5</v>
      </c>
      <c r="O23" s="18">
        <f t="shared" si="62"/>
        <v>11.2201845430196</v>
      </c>
      <c r="P23" s="86" t="str">
        <f t="shared" si="50"/>
        <v>60</v>
      </c>
      <c r="Q23" s="4" t="str">
        <f t="shared" si="51"/>
        <v>1+0,0921180382550045i</v>
      </c>
      <c r="R23" s="4">
        <f t="shared" si="63"/>
        <v>1.00423390351648</v>
      </c>
      <c r="S23" s="4">
        <f t="shared" si="64"/>
        <v>0.0918587938827304</v>
      </c>
      <c r="T23" s="4" t="str">
        <f t="shared" si="52"/>
        <v>1+0,00110541645906006i</v>
      </c>
      <c r="U23" s="4">
        <f t="shared" si="65"/>
        <v>1.00000061097259</v>
      </c>
      <c r="V23" s="4">
        <f t="shared" si="66"/>
        <v>0.00110541600880748</v>
      </c>
      <c r="W23" t="str">
        <f t="shared" si="53"/>
        <v>1-0,00154215465828691i</v>
      </c>
      <c r="X23" s="4">
        <f t="shared" si="67"/>
        <v>1.00000118911979</v>
      </c>
      <c r="Y23" s="4">
        <f t="shared" si="68"/>
        <v>-0.00154215343575018</v>
      </c>
      <c r="Z23" t="str">
        <f t="shared" si="54"/>
        <v>0,999999998972306+0,000411481033021627i</v>
      </c>
      <c r="AA23" s="4">
        <f t="shared" si="69"/>
        <v>1.00000008363062</v>
      </c>
      <c r="AB23" s="4">
        <f t="shared" si="70"/>
        <v>0.000411481010220977</v>
      </c>
      <c r="AC23" s="67" t="str">
        <f t="shared" si="71"/>
        <v>59,490572113573-5,53104798525342i</v>
      </c>
      <c r="AD23" s="68">
        <f t="shared" si="72"/>
        <v>35.5263423302959</v>
      </c>
      <c r="AE23" s="31">
        <f t="shared" si="73"/>
        <v>-5.31172053719726</v>
      </c>
      <c r="AF23" s="32" t="str">
        <f t="shared" si="74"/>
        <v>326,048966736478</v>
      </c>
      <c r="AG23" s="32" t="str">
        <f t="shared" si="55"/>
        <v>1+0,0592187388782172i</v>
      </c>
      <c r="AH23" s="32">
        <f t="shared" si="75"/>
        <v>1.00175189494921</v>
      </c>
      <c r="AI23" s="32">
        <f t="shared" si="76"/>
        <v>0.0591496602463367</v>
      </c>
      <c r="AJ23" s="32" t="str">
        <f t="shared" si="56"/>
        <v>1+0,00110541645906006i</v>
      </c>
      <c r="AK23" s="32">
        <f t="shared" si="77"/>
        <v>1.00000061097259</v>
      </c>
      <c r="AL23" s="32">
        <f t="shared" si="78"/>
        <v>0.00110541600880748</v>
      </c>
      <c r="AM23" s="32" t="str">
        <f t="shared" si="57"/>
        <v>1-0,000182432197176544i</v>
      </c>
      <c r="AN23" s="32">
        <f t="shared" si="79"/>
        <v>1.00000001664075</v>
      </c>
      <c r="AO23" s="32">
        <f t="shared" si="80"/>
        <v>-0.000182432195152671</v>
      </c>
      <c r="AP23" s="30" t="str">
        <f t="shared" si="81"/>
        <v>324,927379146296-18,9408515551468i</v>
      </c>
      <c r="AQ23" s="32">
        <f t="shared" si="82"/>
        <v>50.2504585636799</v>
      </c>
      <c r="AR23" s="31">
        <f t="shared" si="83"/>
        <v>-3.33614281466653</v>
      </c>
      <c r="AS23" t="str">
        <f t="shared" si="58"/>
        <v>-0,000100699300699301</v>
      </c>
      <c r="AT23" t="str">
        <f t="shared" si="59"/>
        <v>0,0000158410126499231i</v>
      </c>
      <c r="AU23">
        <f t="shared" si="84"/>
        <v>1.58410126499231e-5</v>
      </c>
      <c r="AV23">
        <f t="shared" si="85"/>
        <v>1.5707963267949</v>
      </c>
      <c r="AW23" t="str">
        <f t="shared" si="60"/>
        <v>1+0,000811030792380272i</v>
      </c>
      <c r="AX23">
        <f t="shared" si="86"/>
        <v>1.00000032888542</v>
      </c>
      <c r="AY23">
        <f t="shared" si="87"/>
        <v>0.000811030614556178</v>
      </c>
      <c r="AZ23" t="str">
        <f t="shared" si="61"/>
        <v>1+0,0387741742654993i</v>
      </c>
      <c r="BA23">
        <f t="shared" si="88"/>
        <v>1.00075143596698</v>
      </c>
      <c r="BB23">
        <f t="shared" si="89"/>
        <v>0.0387547602710061</v>
      </c>
      <c r="BC23" s="30" t="str">
        <f t="shared" si="90"/>
        <v>-0,241326711240457+6,35706841358703i</v>
      </c>
      <c r="BD23" s="32">
        <f t="shared" si="91"/>
        <v>16.0713918592341</v>
      </c>
      <c r="BE23" s="31">
        <f t="shared" si="92"/>
        <v>92.1740155683</v>
      </c>
      <c r="BF23" s="30" t="str">
        <f t="shared" si="93"/>
        <v>20,8045863231069+379,520426509411i</v>
      </c>
      <c r="BG23" s="68">
        <f t="shared" si="94"/>
        <v>51.59773418953</v>
      </c>
      <c r="BH23" s="31">
        <f t="shared" si="95"/>
        <v>86.8622950311027</v>
      </c>
      <c r="BI23" s="30" t="str">
        <f t="shared" si="96"/>
        <v>41,9946333463079+2070,15651209443i</v>
      </c>
      <c r="BJ23" s="68">
        <f t="shared" si="97"/>
        <v>66.321850422914</v>
      </c>
      <c r="BK23" s="31">
        <f t="shared" si="98"/>
        <v>88.8378727536334</v>
      </c>
      <c r="BL23" s="32">
        <f t="shared" si="99"/>
        <v>51.59773418953</v>
      </c>
      <c r="BM23" s="31">
        <f t="shared" si="100"/>
        <v>86.8622950311027</v>
      </c>
      <c r="BO23">
        <f t="shared" si="101"/>
        <v>0</v>
      </c>
      <c r="BP23">
        <f t="shared" si="102"/>
        <v>0</v>
      </c>
    </row>
    <row r="24" spans="1:68">
      <c r="N24" s="7">
        <v>6</v>
      </c>
      <c r="O24" s="18">
        <f t="shared" si="62"/>
        <v>11.4815362149688</v>
      </c>
      <c r="P24" s="86" t="str">
        <f t="shared" si="50"/>
        <v>60</v>
      </c>
      <c r="Q24" s="4" t="str">
        <f t="shared" si="51"/>
        <v>1+0,0942637430089966i</v>
      </c>
      <c r="R24" s="4">
        <f t="shared" si="63"/>
        <v>1.00443300087466</v>
      </c>
      <c r="S24" s="4">
        <f t="shared" si="64"/>
        <v>0.0939860238306423</v>
      </c>
      <c r="T24" s="4" t="str">
        <f t="shared" si="52"/>
        <v>1+0,00113116491610796i</v>
      </c>
      <c r="U24" s="4">
        <f t="shared" si="65"/>
        <v>1.00000063976683</v>
      </c>
      <c r="V24" s="4">
        <f t="shared" si="66"/>
        <v>0.00113116443365365</v>
      </c>
      <c r="W24" t="str">
        <f t="shared" si="53"/>
        <v>1-0,00157807605483811i</v>
      </c>
      <c r="X24" s="4">
        <f t="shared" si="67"/>
        <v>1.00000124516124</v>
      </c>
      <c r="Y24" s="4">
        <f t="shared" si="68"/>
        <v>-0.00157807474486649</v>
      </c>
      <c r="Z24" t="str">
        <f t="shared" si="54"/>
        <v>0,999999998923872+0,000421065657547476i</v>
      </c>
      <c r="AA24" s="4">
        <f t="shared" si="69"/>
        <v>1.00000008757201</v>
      </c>
      <c r="AB24" s="4">
        <f t="shared" si="70"/>
        <v>0.00042106563311614</v>
      </c>
      <c r="AC24" s="67" t="str">
        <f t="shared" si="71"/>
        <v>59,4667749699623-5,65763943706665i</v>
      </c>
      <c r="AD24" s="68">
        <f t="shared" si="72"/>
        <v>35.5246211569156</v>
      </c>
      <c r="AE24" s="31">
        <f t="shared" si="73"/>
        <v>-5.43473385704071</v>
      </c>
      <c r="AF24" s="32" t="str">
        <f t="shared" si="74"/>
        <v>326,048966736478</v>
      </c>
      <c r="AG24" s="32" t="str">
        <f t="shared" si="55"/>
        <v>1+0,0605981205057836i</v>
      </c>
      <c r="AH24" s="32">
        <f t="shared" si="75"/>
        <v>1.00183438362278</v>
      </c>
      <c r="AI24" s="32">
        <f t="shared" si="76"/>
        <v>0.0605241087360438</v>
      </c>
      <c r="AJ24" s="32" t="str">
        <f t="shared" si="56"/>
        <v>1+0,00113116491610796i</v>
      </c>
      <c r="AK24" s="32">
        <f t="shared" si="77"/>
        <v>1.00000063976683</v>
      </c>
      <c r="AL24" s="32">
        <f t="shared" si="78"/>
        <v>0.00113116443365365</v>
      </c>
      <c r="AM24" s="32" t="str">
        <f t="shared" si="57"/>
        <v>1-0,000186681588937138i</v>
      </c>
      <c r="AN24" s="32">
        <f t="shared" si="79"/>
        <v>1.00000001742501</v>
      </c>
      <c r="AO24" s="32">
        <f t="shared" si="80"/>
        <v>-0.000186681586768519</v>
      </c>
      <c r="AP24" s="30" t="str">
        <f t="shared" si="81"/>
        <v>324,874713745972-19,3788492399365i</v>
      </c>
      <c r="AQ24" s="32">
        <f t="shared" si="82"/>
        <v>50.2497436155422</v>
      </c>
      <c r="AR24" s="31">
        <f t="shared" si="83"/>
        <v>-3.41366110841717</v>
      </c>
      <c r="AS24" t="str">
        <f t="shared" si="58"/>
        <v>-0,000100699300699301</v>
      </c>
      <c r="AT24" t="str">
        <f t="shared" si="59"/>
        <v>0,0000162099972352971i</v>
      </c>
      <c r="AU24">
        <f t="shared" si="84"/>
        <v>1.62099972352971e-5</v>
      </c>
      <c r="AV24">
        <f t="shared" si="85"/>
        <v>1.5707963267949</v>
      </c>
      <c r="AW24" t="str">
        <f t="shared" si="60"/>
        <v>1+0,00082992212636664i</v>
      </c>
      <c r="AX24">
        <f t="shared" si="86"/>
        <v>1.00000034438531</v>
      </c>
      <c r="AY24">
        <f t="shared" si="87"/>
        <v>0.000829921935824694</v>
      </c>
      <c r="AZ24" t="str">
        <f t="shared" si="61"/>
        <v>1+0,0396773408073582i</v>
      </c>
      <c r="BA24">
        <f t="shared" si="88"/>
        <v>1.00078683613122</v>
      </c>
      <c r="BB24">
        <f t="shared" si="89"/>
        <v>0.0396565392206949</v>
      </c>
      <c r="BC24" s="30" t="str">
        <f t="shared" si="90"/>
        <v>-0,241326703759385+6,21237288410541i</v>
      </c>
      <c r="BD24" s="32">
        <f t="shared" si="91"/>
        <v>15.8716989702099</v>
      </c>
      <c r="BE24" s="31">
        <f t="shared" si="92"/>
        <v>92.2246013031928</v>
      </c>
      <c r="BF24" s="30" t="str">
        <f t="shared" si="93"/>
        <v>20,7964450401762+370,795119804999i</v>
      </c>
      <c r="BG24" s="68">
        <f t="shared" si="94"/>
        <v>51.3963201271256</v>
      </c>
      <c r="BH24" s="31">
        <f t="shared" si="95"/>
        <v>86.789867446152</v>
      </c>
      <c r="BI24" s="30" t="str">
        <f t="shared" si="96"/>
        <v>41,9876937402591+2022,91949621671i</v>
      </c>
      <c r="BJ24" s="68">
        <f t="shared" si="97"/>
        <v>66.1214425857521</v>
      </c>
      <c r="BK24" s="31">
        <f t="shared" si="98"/>
        <v>88.8109401947756</v>
      </c>
      <c r="BL24" s="32">
        <f t="shared" si="99"/>
        <v>51.3963201271256</v>
      </c>
      <c r="BM24" s="31">
        <f t="shared" si="100"/>
        <v>86.789867446152</v>
      </c>
      <c r="BO24">
        <f t="shared" si="101"/>
        <v>0</v>
      </c>
      <c r="BP24">
        <f t="shared" si="102"/>
        <v>0</v>
      </c>
    </row>
    <row r="25" spans="1:68">
      <c r="A25" t="s">
        <v>239</v>
      </c>
      <c r="B25" s="85">
        <f>R_cs</f>
        <v>0.01</v>
      </c>
      <c r="C25" s="16" t="s">
        <v>35</v>
      </c>
      <c r="E25" t="s">
        <v>480</v>
      </c>
      <c r="N25" s="7">
        <v>7</v>
      </c>
      <c r="O25" s="18">
        <f t="shared" si="62"/>
        <v>11.7489755493953</v>
      </c>
      <c r="P25" s="86" t="str">
        <f t="shared" si="50"/>
        <v>60</v>
      </c>
      <c r="Q25" s="4" t="str">
        <f t="shared" si="51"/>
        <v>1+0,0964594276472604i</v>
      </c>
      <c r="R25" s="4">
        <f t="shared" si="63"/>
        <v>1.0046414391125</v>
      </c>
      <c r="S25" s="4">
        <f t="shared" si="64"/>
        <v>0.0961619203885937</v>
      </c>
      <c r="T25" s="4" t="str">
        <f t="shared" si="52"/>
        <v>1+0,00115751313176713i</v>
      </c>
      <c r="U25" s="4">
        <f t="shared" si="65"/>
        <v>1.0000006699181</v>
      </c>
      <c r="V25" s="4">
        <f t="shared" si="66"/>
        <v>0.00115751261480804</v>
      </c>
      <c r="W25" t="str">
        <f t="shared" si="53"/>
        <v>1-0,00161483416820191i</v>
      </c>
      <c r="X25" s="4">
        <f t="shared" si="67"/>
        <v>1.00000130384385</v>
      </c>
      <c r="Y25" s="4">
        <f t="shared" si="68"/>
        <v>-0.00161483276454213</v>
      </c>
      <c r="Z25" t="str">
        <f t="shared" si="54"/>
        <v>0,999999998873156+0,000430873536658422i</v>
      </c>
      <c r="AA25" s="4">
        <f t="shared" si="69"/>
        <v>1.00000009169915</v>
      </c>
      <c r="AB25" s="4">
        <f t="shared" si="70"/>
        <v>0.000430873510479773</v>
      </c>
      <c r="AC25" s="67" t="str">
        <f t="shared" si="71"/>
        <v>59,4418765140646-5,78702109972998i</v>
      </c>
      <c r="AD25" s="68">
        <f t="shared" si="72"/>
        <v>35.5228195985363</v>
      </c>
      <c r="AE25" s="31">
        <f t="shared" si="73"/>
        <v>-5.56056193625997</v>
      </c>
      <c r="AF25" s="32" t="str">
        <f t="shared" si="74"/>
        <v>326,048966736478</v>
      </c>
      <c r="AG25" s="32" t="str">
        <f t="shared" si="55"/>
        <v>1+0,0620096320589532i</v>
      </c>
      <c r="AH25" s="32">
        <f t="shared" si="75"/>
        <v>1.00192075258879</v>
      </c>
      <c r="AI25" s="32">
        <f t="shared" si="76"/>
        <v>0.061930335227703</v>
      </c>
      <c r="AJ25" s="32" t="str">
        <f t="shared" si="56"/>
        <v>1+0,00115751313176713i</v>
      </c>
      <c r="AK25" s="32">
        <f t="shared" si="77"/>
        <v>1.0000006699181</v>
      </c>
      <c r="AL25" s="32">
        <f t="shared" si="78"/>
        <v>0.00115751261480804</v>
      </c>
      <c r="AM25" s="32" t="str">
        <f t="shared" si="57"/>
        <v>1-0,00019102996174721i</v>
      </c>
      <c r="AN25" s="32">
        <f t="shared" si="79"/>
        <v>1.00000001824622</v>
      </c>
      <c r="AO25" s="32">
        <f t="shared" si="80"/>
        <v>-0.000191029959423493</v>
      </c>
      <c r="AP25" s="30" t="str">
        <f t="shared" si="81"/>
        <v>324,819584888661-19,8268221055346i</v>
      </c>
      <c r="AQ25" s="32">
        <f t="shared" si="82"/>
        <v>50.2489950991538</v>
      </c>
      <c r="AR25" s="31">
        <f t="shared" si="83"/>
        <v>-3.49297145525162</v>
      </c>
      <c r="AS25" t="str">
        <f t="shared" si="58"/>
        <v>-0,000100699300699301</v>
      </c>
      <c r="AT25" t="str">
        <f t="shared" si="59"/>
        <v>0,00001658757657577i</v>
      </c>
      <c r="AU25">
        <f t="shared" si="84"/>
        <v>1.658757657577e-5</v>
      </c>
      <c r="AV25">
        <f t="shared" si="85"/>
        <v>1.5707963267949</v>
      </c>
      <c r="AW25" t="str">
        <f t="shared" si="60"/>
        <v>1+0,000849253496049727i</v>
      </c>
      <c r="AX25">
        <f t="shared" si="86"/>
        <v>1.00000036061569</v>
      </c>
      <c r="AY25">
        <f t="shared" si="87"/>
        <v>0.000849253291880358</v>
      </c>
      <c r="AZ25" t="str">
        <f t="shared" si="61"/>
        <v>1+0,040601544800505i</v>
      </c>
      <c r="BA25">
        <f t="shared" si="88"/>
        <v>1.00082390331176</v>
      </c>
      <c r="BB25">
        <f t="shared" si="89"/>
        <v>0.0405792564897111</v>
      </c>
      <c r="BC25" s="30" t="str">
        <f t="shared" si="90"/>
        <v>-0,24132669592574+6,0709712369568i</v>
      </c>
      <c r="BD25" s="32">
        <f t="shared" si="91"/>
        <v>15.6720205315847</v>
      </c>
      <c r="BE25" s="31">
        <f t="shared" si="92"/>
        <v>92.276361503277</v>
      </c>
      <c r="BF25" s="30" t="str">
        <f t="shared" si="93"/>
        <v>20,7879269853578+362,266485268875i</v>
      </c>
      <c r="BG25" s="68">
        <f t="shared" si="94"/>
        <v>51.1948401301211</v>
      </c>
      <c r="BH25" s="31">
        <f t="shared" si="95"/>
        <v>86.715799567017</v>
      </c>
      <c r="BI25" s="30" t="str">
        <f t="shared" si="96"/>
        <v>41,9804295298088+1976,75509852874i</v>
      </c>
      <c r="BJ25" s="68">
        <f t="shared" si="97"/>
        <v>65.9210156307385</v>
      </c>
      <c r="BK25" s="31">
        <f t="shared" si="98"/>
        <v>88.7833900480254</v>
      </c>
      <c r="BL25" s="32">
        <f t="shared" si="99"/>
        <v>51.1948401301211</v>
      </c>
      <c r="BM25" s="31">
        <f t="shared" si="100"/>
        <v>86.715799567017</v>
      </c>
      <c r="BO25">
        <f t="shared" si="101"/>
        <v>0</v>
      </c>
      <c r="BP25">
        <f t="shared" si="102"/>
        <v>0</v>
      </c>
    </row>
    <row r="26" customFormat="1" spans="1:68">
      <c r="A26" t="s">
        <v>241</v>
      </c>
      <c r="B26" s="85">
        <f>R_sl</f>
        <v>0</v>
      </c>
      <c r="C26" s="16" t="s">
        <v>35</v>
      </c>
      <c r="E26" t="s">
        <v>481</v>
      </c>
      <c r="N26" s="7">
        <v>8</v>
      </c>
      <c r="O26" s="18">
        <f t="shared" si="62"/>
        <v>12.0226443461741</v>
      </c>
      <c r="P26" s="86" t="str">
        <f t="shared" si="50"/>
        <v>60</v>
      </c>
      <c r="Q26" s="4" t="str">
        <f t="shared" si="51"/>
        <v>1+0,0987062563508536i</v>
      </c>
      <c r="R26" s="4">
        <f t="shared" si="63"/>
        <v>1.00485965440095</v>
      </c>
      <c r="S26" s="4">
        <f t="shared" si="64"/>
        <v>0.0983875547856378</v>
      </c>
      <c r="T26" s="4" t="str">
        <f t="shared" si="52"/>
        <v>1+0,00118447507621024i</v>
      </c>
      <c r="U26" s="4">
        <f t="shared" si="65"/>
        <v>1.00000070149036</v>
      </c>
      <c r="V26" s="4">
        <f t="shared" si="66"/>
        <v>0.00118447452227862</v>
      </c>
      <c r="W26" t="str">
        <f t="shared" si="53"/>
        <v>1-0,00165244848801652i</v>
      </c>
      <c r="X26" s="4">
        <f t="shared" si="67"/>
        <v>1.00000136529207</v>
      </c>
      <c r="Y26" s="4">
        <f t="shared" si="68"/>
        <v>-0.00165244698396808</v>
      </c>
      <c r="Z26" t="str">
        <f t="shared" si="54"/>
        <v>0,999999998820049+0,000440909870621786i</v>
      </c>
      <c r="AA26" s="4">
        <f t="shared" si="69"/>
        <v>1.0000000960208</v>
      </c>
      <c r="AB26" s="4">
        <f t="shared" si="70"/>
        <v>0.000440909842570859</v>
      </c>
      <c r="AC26" s="67" t="str">
        <f t="shared" si="71"/>
        <v>59,4158267651067-5,91924686619362i</v>
      </c>
      <c r="AD26" s="68">
        <f t="shared" si="72"/>
        <v>35.5209339366285</v>
      </c>
      <c r="AE26" s="31">
        <f t="shared" si="73"/>
        <v>-5.68926676593745</v>
      </c>
      <c r="AF26" s="32" t="str">
        <f t="shared" si="74"/>
        <v>326,048966736478</v>
      </c>
      <c r="AG26" s="32" t="str">
        <f t="shared" si="55"/>
        <v>1+0,0634540219398345i</v>
      </c>
      <c r="AH26" s="32">
        <f t="shared" si="75"/>
        <v>1.00201118401959</v>
      </c>
      <c r="AI26" s="32">
        <f t="shared" si="76"/>
        <v>0.0633690630624542</v>
      </c>
      <c r="AJ26" s="32" t="str">
        <f t="shared" si="56"/>
        <v>1+0,00118447507621024i</v>
      </c>
      <c r="AK26" s="32">
        <f t="shared" si="77"/>
        <v>1.00000070149036</v>
      </c>
      <c r="AL26" s="32">
        <f t="shared" si="78"/>
        <v>0.00118447452227862</v>
      </c>
      <c r="AM26" s="32" t="str">
        <f t="shared" si="57"/>
        <v>1-0,00019547962117158i</v>
      </c>
      <c r="AN26" s="32">
        <f t="shared" si="79"/>
        <v>1.00000001910614</v>
      </c>
      <c r="AO26" s="32">
        <f t="shared" si="80"/>
        <v>-0.000195479618681673</v>
      </c>
      <c r="AP26" s="30" t="str">
        <f t="shared" si="81"/>
        <v>324,761878257897-20,284986401976i</v>
      </c>
      <c r="AQ26" s="32">
        <f t="shared" si="82"/>
        <v>50.2482114446214</v>
      </c>
      <c r="AR26" s="31">
        <f t="shared" si="83"/>
        <v>-3.57411463124093</v>
      </c>
      <c r="AS26" t="str">
        <f t="shared" si="58"/>
        <v>-0,000100699300699301</v>
      </c>
      <c r="AT26" t="str">
        <f t="shared" si="59"/>
        <v>0,0000169739508689057i</v>
      </c>
      <c r="AU26">
        <f t="shared" si="84"/>
        <v>1.69739508689057e-5</v>
      </c>
      <c r="AV26">
        <f t="shared" si="85"/>
        <v>1.5707963267949</v>
      </c>
      <c r="AW26" t="str">
        <f t="shared" si="60"/>
        <v>1+0,000869035151177614i</v>
      </c>
      <c r="AX26">
        <f t="shared" si="86"/>
        <v>1.00000037761098</v>
      </c>
      <c r="AY26">
        <f t="shared" si="87"/>
        <v>0.000869034932406198</v>
      </c>
      <c r="AZ26" t="str">
        <f t="shared" si="61"/>
        <v>1+0,0415472762701297i</v>
      </c>
      <c r="BA26">
        <f t="shared" si="88"/>
        <v>1.00086271594333</v>
      </c>
      <c r="BB26">
        <f t="shared" si="89"/>
        <v>0.0415233950265155</v>
      </c>
      <c r="BC26" s="30" t="str">
        <f t="shared" si="90"/>
        <v>-0,24132668772291+5,93278849911629i</v>
      </c>
      <c r="BD26" s="32">
        <f t="shared" si="91"/>
        <v>15.4723572221412</v>
      </c>
      <c r="BE26" s="31">
        <f t="shared" si="92"/>
        <v>92.3293232521975</v>
      </c>
      <c r="BF26" s="30" t="str">
        <f t="shared" si="93"/>
        <v>20,7790150596422+353,930005937544i</v>
      </c>
      <c r="BG26" s="68">
        <f t="shared" si="94"/>
        <v>50.9932911587697</v>
      </c>
      <c r="BH26" s="31">
        <f t="shared" si="95"/>
        <v>86.6400564862601</v>
      </c>
      <c r="BI26" s="30" t="str">
        <f t="shared" si="96"/>
        <v>41,9728256517243+1931,63884485875i</v>
      </c>
      <c r="BJ26" s="68">
        <f t="shared" si="97"/>
        <v>65.7205686667626</v>
      </c>
      <c r="BK26" s="31">
        <f t="shared" si="98"/>
        <v>88.7552086209566</v>
      </c>
      <c r="BL26" s="32">
        <f t="shared" si="99"/>
        <v>50.9932911587697</v>
      </c>
      <c r="BM26" s="31">
        <f t="shared" si="100"/>
        <v>86.6400564862601</v>
      </c>
      <c r="BO26">
        <f t="shared" si="101"/>
        <v>0</v>
      </c>
      <c r="BP26">
        <f t="shared" si="102"/>
        <v>0</v>
      </c>
    </row>
    <row r="27" customFormat="1" spans="1:68">
      <c r="A27" t="s">
        <v>482</v>
      </c>
      <c r="B27" s="10">
        <f>Rsl_int</f>
        <v>2000</v>
      </c>
      <c r="C27" s="16" t="s">
        <v>35</v>
      </c>
      <c r="E27" t="s">
        <v>483</v>
      </c>
      <c r="N27" s="7">
        <v>9</v>
      </c>
      <c r="O27" s="18">
        <f t="shared" si="62"/>
        <v>12.3026877081238</v>
      </c>
      <c r="P27" s="86" t="str">
        <f t="shared" si="50"/>
        <v>60</v>
      </c>
      <c r="Q27" s="4" t="str">
        <f t="shared" si="51"/>
        <v>1+0,101005420418096i</v>
      </c>
      <c r="R27" s="4">
        <f t="shared" si="63"/>
        <v>1.00508810308044</v>
      </c>
      <c r="S27" s="4">
        <f t="shared" si="64"/>
        <v>0.100664018837587</v>
      </c>
      <c r="T27" s="4" t="str">
        <f t="shared" si="52"/>
        <v>1+0,00121206504501716i</v>
      </c>
      <c r="U27" s="4">
        <f t="shared" si="65"/>
        <v>1.00000073455057</v>
      </c>
      <c r="V27" s="4">
        <f t="shared" si="66"/>
        <v>0.00121206445146875</v>
      </c>
      <c r="W27" t="str">
        <f t="shared" si="53"/>
        <v>1-0,00169093895789224i</v>
      </c>
      <c r="X27" s="4">
        <f t="shared" si="67"/>
        <v>1.00000142963626</v>
      </c>
      <c r="Y27" s="4">
        <f t="shared" si="68"/>
        <v>-0.00169093734627542</v>
      </c>
      <c r="Z27" t="str">
        <f t="shared" si="54"/>
        <v>0,99999999876444+0,000451179980834688i</v>
      </c>
      <c r="AA27" s="4">
        <f t="shared" si="69"/>
        <v>1.00000010054612</v>
      </c>
      <c r="AB27" s="4">
        <f t="shared" si="70"/>
        <v>0.000451179950777578</v>
      </c>
      <c r="AC27" s="67" t="str">
        <f t="shared" si="71"/>
        <v>59,3885735682363-6,05437111913854i</v>
      </c>
      <c r="AD27" s="68">
        <f t="shared" si="72"/>
        <v>35.5189602840595</v>
      </c>
      <c r="AE27" s="31">
        <f t="shared" si="73"/>
        <v>-5.82091153099526</v>
      </c>
      <c r="AF27" s="32" t="str">
        <f t="shared" si="74"/>
        <v>326,048966736478</v>
      </c>
      <c r="AG27" s="32" t="str">
        <f t="shared" si="55"/>
        <v>1+0,0649320559830621i</v>
      </c>
      <c r="AH27" s="32">
        <f t="shared" si="75"/>
        <v>1.0021058686058</v>
      </c>
      <c r="AI27" s="32">
        <f t="shared" si="76"/>
        <v>0.0648410312347829</v>
      </c>
      <c r="AJ27" s="32" t="str">
        <f t="shared" si="56"/>
        <v>1+0,00121206504501716i</v>
      </c>
      <c r="AK27" s="32">
        <f t="shared" si="77"/>
        <v>1.00000073455057</v>
      </c>
      <c r="AL27" s="32">
        <f t="shared" si="78"/>
        <v>0.00121206445146875</v>
      </c>
      <c r="AM27" s="32" t="str">
        <f t="shared" si="57"/>
        <v>1-0,000200032926478575i</v>
      </c>
      <c r="AN27" s="32">
        <f t="shared" si="79"/>
        <v>1.00000002000659</v>
      </c>
      <c r="AO27" s="32">
        <f t="shared" si="80"/>
        <v>-0.000200032923810591</v>
      </c>
      <c r="AP27" s="30" t="str">
        <f t="shared" si="81"/>
        <v>324,701474320073-20,7535622817801i</v>
      </c>
      <c r="AQ27" s="32">
        <f t="shared" si="82"/>
        <v>50.2473910092279</v>
      </c>
      <c r="AR27" s="31">
        <f t="shared" si="83"/>
        <v>-3.65713229376</v>
      </c>
      <c r="AS27" t="str">
        <f t="shared" si="58"/>
        <v>-0,000100699300699301</v>
      </c>
      <c r="AT27" t="str">
        <f t="shared" si="59"/>
        <v>0,0000173693249754691i</v>
      </c>
      <c r="AU27">
        <f t="shared" si="84"/>
        <v>1.73693249754691e-5</v>
      </c>
      <c r="AV27">
        <f t="shared" si="85"/>
        <v>1.5707963267949</v>
      </c>
      <c r="AW27" t="str">
        <f t="shared" si="60"/>
        <v>1+0,0008892775802457i</v>
      </c>
      <c r="AX27">
        <f t="shared" si="86"/>
        <v>1.00000039540723</v>
      </c>
      <c r="AY27">
        <f t="shared" si="87"/>
        <v>0.000889277345827909</v>
      </c>
      <c r="AZ27" t="str">
        <f t="shared" si="61"/>
        <v>1+0,0425150366555763i</v>
      </c>
      <c r="BA27">
        <f t="shared" si="88"/>
        <v>1.00090335614475</v>
      </c>
      <c r="BB27">
        <f t="shared" si="89"/>
        <v>0.0424894486891975</v>
      </c>
      <c r="BC27" s="30" t="str">
        <f t="shared" si="90"/>
        <v>-0,241326679133492+5,797751404267i</v>
      </c>
      <c r="BD27" s="32">
        <f t="shared" si="91"/>
        <v>15.2727097524359</v>
      </c>
      <c r="BE27" s="31">
        <f t="shared" si="92"/>
        <v>92.3835142449962</v>
      </c>
      <c r="BF27" s="30" t="str">
        <f t="shared" si="93"/>
        <v>20,7696914202415+345,781267079079i</v>
      </c>
      <c r="BG27" s="68">
        <f t="shared" si="94"/>
        <v>50.7916700364954</v>
      </c>
      <c r="BH27" s="31">
        <f t="shared" si="95"/>
        <v>86.5626027140009</v>
      </c>
      <c r="BI27" s="30" t="str">
        <f t="shared" si="96"/>
        <v>41,9648663553212+1887,54681697242i</v>
      </c>
      <c r="BJ27" s="68">
        <f t="shared" si="97"/>
        <v>65.5201007616638</v>
      </c>
      <c r="BK27" s="31">
        <f t="shared" si="98"/>
        <v>88.7263819512361</v>
      </c>
      <c r="BL27" s="32">
        <f t="shared" si="99"/>
        <v>50.7916700364954</v>
      </c>
      <c r="BM27" s="31">
        <f t="shared" si="100"/>
        <v>86.5626027140009</v>
      </c>
      <c r="BO27">
        <f t="shared" si="101"/>
        <v>0</v>
      </c>
      <c r="BP27">
        <f t="shared" si="102"/>
        <v>0</v>
      </c>
    </row>
    <row r="28" spans="1:68">
      <c r="A28" t="s">
        <v>484</v>
      </c>
      <c r="B28" s="10">
        <f>Isl</f>
        <v>4.3e-5</v>
      </c>
      <c r="C28" s="16" t="s">
        <v>12</v>
      </c>
      <c r="E28" t="s">
        <v>485</v>
      </c>
      <c r="N28" s="7">
        <v>10</v>
      </c>
      <c r="O28" s="18">
        <f t="shared" si="62"/>
        <v>12.5892541179417</v>
      </c>
      <c r="P28" s="86" t="str">
        <f t="shared" si="50"/>
        <v>60</v>
      </c>
      <c r="Q28" s="4" t="str">
        <f t="shared" si="51"/>
        <v>1+0,10335813889621i</v>
      </c>
      <c r="R28" s="4">
        <f t="shared" si="63"/>
        <v>1.00532726257477</v>
      </c>
      <c r="S28" s="4">
        <f t="shared" si="64"/>
        <v>0.102992425125694</v>
      </c>
      <c r="T28" s="4" t="str">
        <f t="shared" si="52"/>
        <v>1+0,00124029766675452i</v>
      </c>
      <c r="U28" s="4">
        <f t="shared" si="65"/>
        <v>1.00000076916886</v>
      </c>
      <c r="V28" s="4">
        <f t="shared" si="66"/>
        <v>0.00124029703075597</v>
      </c>
      <c r="W28" t="str">
        <f t="shared" si="53"/>
        <v>1-0,00173032598598566i</v>
      </c>
      <c r="X28" s="4">
        <f t="shared" si="67"/>
        <v>1.00000149701289</v>
      </c>
      <c r="Y28" s="4">
        <f t="shared" si="68"/>
        <v>-0.00173032425910727</v>
      </c>
      <c r="Z28" t="str">
        <f t="shared" si="54"/>
        <v>0,99999999870621+0,000461689312645503i</v>
      </c>
      <c r="AA28" s="4">
        <f t="shared" si="69"/>
        <v>1.00000010528472</v>
      </c>
      <c r="AB28" s="4">
        <f t="shared" si="70"/>
        <v>0.00046168928043873</v>
      </c>
      <c r="AC28" s="67" t="str">
        <f t="shared" si="71"/>
        <v>59,3600625089799-6,19244869099167i</v>
      </c>
      <c r="AD28" s="68">
        <f t="shared" si="72"/>
        <v>35.5168945777751</v>
      </c>
      <c r="AE28" s="31">
        <f t="shared" si="73"/>
        <v>-5.95556062076602</v>
      </c>
      <c r="AF28" s="32" t="str">
        <f t="shared" si="74"/>
        <v>326,048966736478</v>
      </c>
      <c r="AG28" s="32" t="str">
        <f t="shared" si="55"/>
        <v>1+0,0664445178618492i</v>
      </c>
      <c r="AH28" s="32">
        <f t="shared" si="75"/>
        <v>1.00220500595132</v>
      </c>
      <c r="AI28" s="32">
        <f t="shared" si="76"/>
        <v>0.0663469946729224</v>
      </c>
      <c r="AJ28" s="32" t="str">
        <f t="shared" si="56"/>
        <v>1+0,00124029766675452i</v>
      </c>
      <c r="AK28" s="32">
        <f t="shared" si="77"/>
        <v>1.00000076916886</v>
      </c>
      <c r="AL28" s="32">
        <f t="shared" si="78"/>
        <v>0.00124029703075597</v>
      </c>
      <c r="AM28" s="32" t="str">
        <f t="shared" si="57"/>
        <v>1-0,000204692291890938i</v>
      </c>
      <c r="AN28" s="32">
        <f t="shared" si="79"/>
        <v>1.00000002094947</v>
      </c>
      <c r="AO28" s="32">
        <f t="shared" si="80"/>
        <v>-0.000204692289032142</v>
      </c>
      <c r="AP28" s="30" t="str">
        <f t="shared" si="81"/>
        <v>324,638248094793-21,2327738117529i</v>
      </c>
      <c r="AQ28" s="32">
        <f t="shared" si="82"/>
        <v>50.2465320741117</v>
      </c>
      <c r="AR28" s="31">
        <f t="shared" si="83"/>
        <v>-3.7420669971909</v>
      </c>
      <c r="AS28" t="str">
        <f t="shared" si="58"/>
        <v>-0,000100699300699301</v>
      </c>
      <c r="AT28" t="str">
        <f t="shared" si="59"/>
        <v>0,0000177739085280447i</v>
      </c>
      <c r="AU28">
        <f t="shared" si="84"/>
        <v>1.77739085280447e-5</v>
      </c>
      <c r="AV28">
        <f t="shared" si="85"/>
        <v>1.5707963267949</v>
      </c>
      <c r="AW28" t="str">
        <f t="shared" si="60"/>
        <v>1+0,000909991516057814i</v>
      </c>
      <c r="AX28">
        <f t="shared" si="86"/>
        <v>1.00000041404219</v>
      </c>
      <c r="AY28">
        <f t="shared" si="87"/>
        <v>0.000909991264874631</v>
      </c>
      <c r="AZ28" t="str">
        <f t="shared" si="61"/>
        <v>1+0,0435053390762107i</v>
      </c>
      <c r="BA28">
        <f t="shared" si="88"/>
        <v>1.00094590989131</v>
      </c>
      <c r="BB28">
        <f t="shared" si="89"/>
        <v>0.0434779224754545</v>
      </c>
      <c r="BC28" s="30" t="str">
        <f t="shared" si="90"/>
        <v>-0,241326670139267+5,66578835395385i</v>
      </c>
      <c r="BD28" s="32">
        <f t="shared" si="91"/>
        <v>15.0730788662765</v>
      </c>
      <c r="BE28" s="31">
        <f t="shared" si="92"/>
        <v>92.4389628009694</v>
      </c>
      <c r="BF28" s="30" t="str">
        <f t="shared" si="93"/>
        <v>20,7599374513265+337,815953875956i</v>
      </c>
      <c r="BG28" s="68">
        <f t="shared" si="94"/>
        <v>50.5899734440516</v>
      </c>
      <c r="BH28" s="31">
        <f t="shared" si="95"/>
        <v>86.4834021802034</v>
      </c>
      <c r="BI28" s="30" t="str">
        <f t="shared" si="96"/>
        <v>41,9565351722042+1844,45563990527i</v>
      </c>
      <c r="BJ28" s="68">
        <f t="shared" si="97"/>
        <v>65.3196109403882</v>
      </c>
      <c r="BK28" s="31">
        <f t="shared" si="98"/>
        <v>88.6968958037785</v>
      </c>
      <c r="BL28" s="32">
        <f t="shared" si="99"/>
        <v>50.5899734440516</v>
      </c>
      <c r="BM28" s="31">
        <f t="shared" si="100"/>
        <v>86.4834021802034</v>
      </c>
      <c r="BO28">
        <f t="shared" si="101"/>
        <v>0</v>
      </c>
      <c r="BP28">
        <f t="shared" si="102"/>
        <v>0</v>
      </c>
    </row>
    <row r="29" spans="1:68">
      <c r="B29" s="13"/>
      <c r="C29" s="16"/>
      <c r="N29" s="7">
        <v>11</v>
      </c>
      <c r="O29" s="18">
        <f t="shared" si="62"/>
        <v>12.8824955169313</v>
      </c>
      <c r="P29" s="86" t="str">
        <f t="shared" si="50"/>
        <v>60</v>
      </c>
      <c r="Q29" s="4" t="str">
        <f t="shared" si="51"/>
        <v>1+0,105765659227672i</v>
      </c>
      <c r="R29" s="4">
        <f t="shared" si="63"/>
        <v>1.00557763234465</v>
      </c>
      <c r="S29" s="4">
        <f t="shared" si="64"/>
        <v>0.105373907159325</v>
      </c>
      <c r="T29" s="4" t="str">
        <f t="shared" si="52"/>
        <v>1+0,00126918791073206i</v>
      </c>
      <c r="U29" s="4">
        <f t="shared" si="65"/>
        <v>1.00000080541865</v>
      </c>
      <c r="V29" s="4">
        <f t="shared" si="66"/>
        <v>0.00126918722924737</v>
      </c>
      <c r="W29" t="str">
        <f t="shared" si="53"/>
        <v>1-0,0017706304558204i</v>
      </c>
      <c r="X29" s="4">
        <f t="shared" si="67"/>
        <v>1.00000156756488</v>
      </c>
      <c r="Y29" s="4">
        <f t="shared" si="68"/>
        <v>-0.00177062860543702</v>
      </c>
      <c r="Z29" t="str">
        <f t="shared" si="54"/>
        <v>0,999999998645235+0,000472443438241059i</v>
      </c>
      <c r="AA29" s="4">
        <f t="shared" si="69"/>
        <v>1.00000011024663</v>
      </c>
      <c r="AB29" s="4">
        <f t="shared" si="70"/>
        <v>0.00047244340373088</v>
      </c>
      <c r="AC29" s="67" t="str">
        <f t="shared" si="71"/>
        <v>59,3302368252154-6,33353481972993i</v>
      </c>
      <c r="AD29" s="68">
        <f t="shared" si="72"/>
        <v>35.514732571193</v>
      </c>
      <c r="AE29" s="31">
        <f t="shared" si="73"/>
        <v>-6.09327963865412</v>
      </c>
      <c r="AF29" s="32" t="str">
        <f t="shared" si="74"/>
        <v>326,048966736478</v>
      </c>
      <c r="AG29" s="32" t="str">
        <f t="shared" si="55"/>
        <v>1+0,0679922095035033i</v>
      </c>
      <c r="AH29" s="32">
        <f t="shared" si="75"/>
        <v>1.00230880498635</v>
      </c>
      <c r="AI29" s="32">
        <f t="shared" si="76"/>
        <v>0.0678877245199263</v>
      </c>
      <c r="AJ29" s="32" t="str">
        <f t="shared" si="56"/>
        <v>1+0,00126918791073206i</v>
      </c>
      <c r="AK29" s="32">
        <f t="shared" si="77"/>
        <v>1.00000080541865</v>
      </c>
      <c r="AL29" s="32">
        <f t="shared" si="78"/>
        <v>0.00126918722924737</v>
      </c>
      <c r="AM29" s="32" t="str">
        <f t="shared" si="57"/>
        <v>1-0,000209460187865882i</v>
      </c>
      <c r="AN29" s="32">
        <f t="shared" si="79"/>
        <v>1.00000002193678</v>
      </c>
      <c r="AO29" s="32">
        <f t="shared" si="80"/>
        <v>-0.000209460184802627</v>
      </c>
      <c r="AP29" s="30" t="str">
        <f t="shared" si="81"/>
        <v>324,572068915912-21,7228489796537i</v>
      </c>
      <c r="AQ29" s="32">
        <f t="shared" si="82"/>
        <v>50.2456328407999</v>
      </c>
      <c r="AR29" s="31">
        <f t="shared" si="83"/>
        <v>-3.82896220865602</v>
      </c>
      <c r="AS29" t="str">
        <f t="shared" si="58"/>
        <v>-0,000100699300699301</v>
      </c>
      <c r="AT29" t="str">
        <f t="shared" si="59"/>
        <v>0,0000181879160421871i</v>
      </c>
      <c r="AU29">
        <f t="shared" si="84"/>
        <v>1.81879160421871e-5</v>
      </c>
      <c r="AV29">
        <f t="shared" si="85"/>
        <v>1.5707963267949</v>
      </c>
      <c r="AW29" t="str">
        <f t="shared" si="60"/>
        <v>1+0,000931187941416894i</v>
      </c>
      <c r="AX29">
        <f t="shared" si="86"/>
        <v>1.0000004335554</v>
      </c>
      <c r="AY29">
        <f t="shared" si="87"/>
        <v>0.000931187672269271</v>
      </c>
      <c r="AZ29" t="str">
        <f t="shared" si="61"/>
        <v>1+0,0445187086034842i</v>
      </c>
      <c r="BA29">
        <f t="shared" si="88"/>
        <v>1.00099046719523</v>
      </c>
      <c r="BB29">
        <f t="shared" si="89"/>
        <v>0.0444893327562235</v>
      </c>
      <c r="BC29" s="30" t="str">
        <f t="shared" si="90"/>
        <v>-0,241326660721158+5,53682937962085i</v>
      </c>
      <c r="BD29" s="32">
        <f t="shared" si="91"/>
        <v>14.8734653422659</v>
      </c>
      <c r="BE29" s="31">
        <f t="shared" si="92"/>
        <v>92.4956978767291</v>
      </c>
      <c r="BF29" s="30" t="str">
        <f t="shared" si="93"/>
        <v>20,7497337339076+330,029849162322i</v>
      </c>
      <c r="BG29" s="68">
        <f t="shared" si="94"/>
        <v>50.388197913459</v>
      </c>
      <c r="BH29" s="31">
        <f t="shared" si="95"/>
        <v>86.402418238075</v>
      </c>
      <c r="BI29" s="30" t="str">
        <f t="shared" si="96"/>
        <v>41,9478148847788+1802,34246958355i</v>
      </c>
      <c r="BJ29" s="68">
        <f t="shared" si="97"/>
        <v>65.1190981830658</v>
      </c>
      <c r="BK29" s="31">
        <f t="shared" si="98"/>
        <v>88.6667356680731</v>
      </c>
      <c r="BL29" s="32">
        <f t="shared" si="99"/>
        <v>50.388197913459</v>
      </c>
      <c r="BM29" s="31">
        <f t="shared" si="100"/>
        <v>86.402418238075</v>
      </c>
      <c r="BO29">
        <f t="shared" si="101"/>
        <v>0</v>
      </c>
      <c r="BP29">
        <f t="shared" si="102"/>
        <v>0</v>
      </c>
    </row>
    <row r="30" spans="1:68">
      <c r="A30" t="s">
        <v>486</v>
      </c>
      <c r="B30" s="10">
        <f>Gcomp</f>
        <v>0.9</v>
      </c>
      <c r="C30" s="16"/>
      <c r="E30" t="s">
        <v>487</v>
      </c>
      <c r="N30" s="7">
        <v>12</v>
      </c>
      <c r="O30" s="18">
        <f t="shared" si="62"/>
        <v>13.1825673855641</v>
      </c>
      <c r="P30" s="86" t="str">
        <f t="shared" si="50"/>
        <v>60</v>
      </c>
      <c r="Q30" s="4" t="str">
        <f t="shared" si="51"/>
        <v>1+0,108229257911631i</v>
      </c>
      <c r="R30" s="4">
        <f t="shared" si="63"/>
        <v>1.0058397348823</v>
      </c>
      <c r="S30" s="4">
        <f t="shared" si="64"/>
        <v>0.107809619520991</v>
      </c>
      <c r="T30" s="4" t="str">
        <f t="shared" si="52"/>
        <v>1+0,00129875109493958i</v>
      </c>
      <c r="U30" s="4">
        <f t="shared" si="65"/>
        <v>1.00000084337685</v>
      </c>
      <c r="V30" s="4">
        <f t="shared" si="66"/>
        <v>0.00129875036471561</v>
      </c>
      <c r="W30" t="str">
        <f t="shared" si="53"/>
        <v>1-0,0018118737373599i</v>
      </c>
      <c r="X30" s="4">
        <f t="shared" si="67"/>
        <v>1.00000164144187</v>
      </c>
      <c r="Y30" s="4">
        <f t="shared" si="68"/>
        <v>-0.00181187175463856</v>
      </c>
      <c r="Z30" t="str">
        <f t="shared" si="54"/>
        <v>0,999999998581387+0,000483448059601103i</v>
      </c>
      <c r="AA30" s="4">
        <f t="shared" si="69"/>
        <v>1.00000011544239</v>
      </c>
      <c r="AB30" s="4">
        <f t="shared" si="70"/>
        <v>0.00048344802262278</v>
      </c>
      <c r="AC30" s="67" t="str">
        <f t="shared" si="71"/>
        <v>59,2990373166816-6,47768510018881i</v>
      </c>
      <c r="AD30" s="68">
        <f t="shared" si="72"/>
        <v>35.5124698263036</v>
      </c>
      <c r="AE30" s="31">
        <f t="shared" si="73"/>
        <v>-6.2341354107947</v>
      </c>
      <c r="AF30" s="32" t="str">
        <f t="shared" si="74"/>
        <v>326,048966736478</v>
      </c>
      <c r="AG30" s="32" t="str">
        <f t="shared" si="55"/>
        <v>1+0,0695759515146202i</v>
      </c>
      <c r="AH30" s="32">
        <f t="shared" si="75"/>
        <v>1.00241748439917</v>
      </c>
      <c r="AI30" s="32">
        <f t="shared" si="76"/>
        <v>0.0694640084150191</v>
      </c>
      <c r="AJ30" s="32" t="str">
        <f t="shared" si="56"/>
        <v>1+0,00129875109493958i</v>
      </c>
      <c r="AK30" s="32">
        <f t="shared" si="77"/>
        <v>1.00000084337685</v>
      </c>
      <c r="AL30" s="32">
        <f t="shared" si="78"/>
        <v>0.00129875036471561</v>
      </c>
      <c r="AM30" s="32" t="str">
        <f t="shared" si="57"/>
        <v>1-0,000214339142404969i</v>
      </c>
      <c r="AN30" s="32">
        <f t="shared" si="79"/>
        <v>1.00000002297063</v>
      </c>
      <c r="AO30" s="32">
        <f t="shared" si="80"/>
        <v>-0.000214339139122632</v>
      </c>
      <c r="AP30" s="30" t="str">
        <f t="shared" si="81"/>
        <v>324,502800182994-22,2240196952499i</v>
      </c>
      <c r="AQ30" s="32">
        <f t="shared" si="82"/>
        <v>50.2446914275896</v>
      </c>
      <c r="AR30" s="31">
        <f t="shared" si="83"/>
        <v>-3.91786232375875</v>
      </c>
      <c r="AS30" t="str">
        <f t="shared" si="58"/>
        <v>-0,000100699300699301</v>
      </c>
      <c r="AT30" t="str">
        <f t="shared" si="59"/>
        <v>0,0000186115670301609i</v>
      </c>
      <c r="AU30">
        <f t="shared" si="84"/>
        <v>1.86115670301609e-5</v>
      </c>
      <c r="AV30">
        <f t="shared" si="85"/>
        <v>1.5707963267949</v>
      </c>
      <c r="AW30" t="str">
        <f t="shared" si="60"/>
        <v>1+0,000952878094948255i</v>
      </c>
      <c r="AX30">
        <f t="shared" si="86"/>
        <v>1.00000045398823</v>
      </c>
      <c r="AY30">
        <f t="shared" si="87"/>
        <v>0.000952877806551388</v>
      </c>
      <c r="AZ30" t="str">
        <f t="shared" si="61"/>
        <v>1+0,0455556825393346i</v>
      </c>
      <c r="BA30">
        <f t="shared" si="88"/>
        <v>1.00103712229449</v>
      </c>
      <c r="BB30">
        <f t="shared" si="89"/>
        <v>0.0455242075129278</v>
      </c>
      <c r="BC30" s="30" t="str">
        <f t="shared" si="90"/>
        <v>-0,241326650859189+5,4108061055126i</v>
      </c>
      <c r="BD30" s="32">
        <f t="shared" si="91"/>
        <v>14.6738699954167</v>
      </c>
      <c r="BE30" s="31">
        <f t="shared" si="92"/>
        <v>92.5537490794615</v>
      </c>
      <c r="BF30" s="30" t="str">
        <f t="shared" si="93"/>
        <v>20,7390600148808+322,418831214669i</v>
      </c>
      <c r="BG30" s="68">
        <f t="shared" si="94"/>
        <v>50.1863398217203</v>
      </c>
      <c r="BH30" s="31">
        <f t="shared" si="95"/>
        <v>86.3196136686667</v>
      </c>
      <c r="BI30" s="30" t="str">
        <f t="shared" si="96"/>
        <v>41,9386874934999+1761,18498072776i</v>
      </c>
      <c r="BJ30" s="68">
        <f t="shared" si="97"/>
        <v>64.9185614230063</v>
      </c>
      <c r="BK30" s="31">
        <f t="shared" si="98"/>
        <v>88.6358867557027</v>
      </c>
      <c r="BL30" s="32">
        <f t="shared" si="99"/>
        <v>50.1863398217203</v>
      </c>
      <c r="BM30" s="31">
        <f t="shared" si="100"/>
        <v>86.3196136686667</v>
      </c>
      <c r="BO30">
        <f t="shared" si="101"/>
        <v>0</v>
      </c>
      <c r="BP30">
        <f t="shared" si="102"/>
        <v>0</v>
      </c>
    </row>
    <row r="31" spans="1:68">
      <c r="A31" t="s">
        <v>436</v>
      </c>
      <c r="B31">
        <v>1</v>
      </c>
      <c r="E31" t="s">
        <v>488</v>
      </c>
      <c r="N31" s="7">
        <v>13</v>
      </c>
      <c r="O31" s="18">
        <f t="shared" si="62"/>
        <v>13.4896288259165</v>
      </c>
      <c r="P31" s="86" t="str">
        <f t="shared" si="50"/>
        <v>60</v>
      </c>
      <c r="Q31" s="4" t="str">
        <f t="shared" si="51"/>
        <v>1+0,110750241180718i</v>
      </c>
      <c r="R31" s="4">
        <f t="shared" si="63"/>
        <v>1.00611411674898</v>
      </c>
      <c r="S31" s="4">
        <f t="shared" si="64"/>
        <v>0.110300737991942</v>
      </c>
      <c r="T31" s="4" t="str">
        <f t="shared" si="52"/>
        <v>1+0,00132900289416862i</v>
      </c>
      <c r="U31" s="4">
        <f t="shared" si="65"/>
        <v>1.00000088312396</v>
      </c>
      <c r="V31" s="4">
        <f t="shared" si="66"/>
        <v>0.00132900211171957</v>
      </c>
      <c r="W31" t="str">
        <f t="shared" si="53"/>
        <v>1-0,00185407769833792i</v>
      </c>
      <c r="X31" s="4">
        <f t="shared" si="67"/>
        <v>1.00000171880058</v>
      </c>
      <c r="Y31" s="4">
        <f t="shared" si="68"/>
        <v>-0.00185407557381393</v>
      </c>
      <c r="Z31" t="str">
        <f t="shared" si="54"/>
        <v>0,99999999851453+0,000494709011521535i</v>
      </c>
      <c r="AA31" s="4">
        <f t="shared" si="69"/>
        <v>1.00000012088303</v>
      </c>
      <c r="AB31" s="4">
        <f t="shared" si="70"/>
        <v>0.000494708971898549</v>
      </c>
      <c r="AC31" s="67" t="str">
        <f t="shared" si="71"/>
        <v>59,2664022520554-6,62495543057024i</v>
      </c>
      <c r="AD31" s="68">
        <f t="shared" si="72"/>
        <v>35.5101017054658</v>
      </c>
      <c r="AE31" s="31">
        <f t="shared" si="73"/>
        <v>-6.37819599360592</v>
      </c>
      <c r="AF31" s="32" t="str">
        <f t="shared" si="74"/>
        <v>326,048966736478</v>
      </c>
      <c r="AG31" s="32" t="str">
        <f t="shared" si="55"/>
        <v>1+0,0711965836161761i</v>
      </c>
      <c r="AH31" s="32">
        <f t="shared" si="75"/>
        <v>1.00253127308759</v>
      </c>
      <c r="AI31" s="32">
        <f t="shared" si="76"/>
        <v>0.0710766507748003</v>
      </c>
      <c r="AJ31" s="32" t="str">
        <f t="shared" si="56"/>
        <v>1+0,00132900289416862i</v>
      </c>
      <c r="AK31" s="32">
        <f t="shared" si="77"/>
        <v>1.00000088312396</v>
      </c>
      <c r="AL31" s="32">
        <f t="shared" si="78"/>
        <v>0.00132900211171957</v>
      </c>
      <c r="AM31" s="32" t="str">
        <f t="shared" si="57"/>
        <v>1-0,00021933174239447i</v>
      </c>
      <c r="AN31" s="32">
        <f t="shared" si="79"/>
        <v>1.00000002405321</v>
      </c>
      <c r="AO31" s="32">
        <f t="shared" si="80"/>
        <v>-0.000219331738877382</v>
      </c>
      <c r="AP31" s="30" t="str">
        <f t="shared" si="81"/>
        <v>324,430299102889-22,7365217852466i</v>
      </c>
      <c r="AQ31" s="32">
        <f t="shared" si="82"/>
        <v>50.2437058657714</v>
      </c>
      <c r="AR31" s="31">
        <f t="shared" si="83"/>
        <v>-4.00881268230674</v>
      </c>
      <c r="AS31" t="str">
        <f t="shared" si="58"/>
        <v>-0,000100699300699301</v>
      </c>
      <c r="AT31" t="str">
        <f t="shared" si="59"/>
        <v>0,0000190450861173271i</v>
      </c>
      <c r="AU31">
        <f t="shared" si="84"/>
        <v>1.90450861173271e-5</v>
      </c>
      <c r="AV31">
        <f t="shared" si="85"/>
        <v>1.5707963267949</v>
      </c>
      <c r="AW31" t="str">
        <f t="shared" si="60"/>
        <v>1+0,00097507347705838i</v>
      </c>
      <c r="AX31">
        <f t="shared" si="86"/>
        <v>1.00000047538403</v>
      </c>
      <c r="AY31">
        <f t="shared" si="87"/>
        <v>0.000975073168035577</v>
      </c>
      <c r="AZ31" t="str">
        <f t="shared" si="61"/>
        <v>1+0,0466168107010676i</v>
      </c>
      <c r="BA31">
        <f t="shared" si="88"/>
        <v>1.00108597385037</v>
      </c>
      <c r="BB31">
        <f t="shared" si="89"/>
        <v>0.0465830865782907</v>
      </c>
      <c r="BC31" s="30" t="str">
        <f t="shared" si="90"/>
        <v>-0,24132664053244+5,28765171242116i</v>
      </c>
      <c r="BD31" s="32">
        <f t="shared" si="91"/>
        <v>14.4742936788408</v>
      </c>
      <c r="BE31" s="31">
        <f t="shared" si="92"/>
        <v>92.6131466803837</v>
      </c>
      <c r="BF31" s="30" t="str">
        <f t="shared" si="93"/>
        <v>20,7278951752358+314,978871594859i</v>
      </c>
      <c r="BG31" s="68">
        <f t="shared" si="94"/>
        <v>49.9843953843067</v>
      </c>
      <c r="BH31" s="31">
        <f t="shared" si="95"/>
        <v>86.2349506867778</v>
      </c>
      <c r="BI31" s="30" t="str">
        <f t="shared" si="96"/>
        <v>41,9291341828253+1720,96135503253i</v>
      </c>
      <c r="BJ31" s="68">
        <f t="shared" si="97"/>
        <v>64.7179995446123</v>
      </c>
      <c r="BK31" s="31">
        <f t="shared" si="98"/>
        <v>88.6043339980769</v>
      </c>
      <c r="BL31" s="32">
        <f t="shared" si="99"/>
        <v>49.9843953843067</v>
      </c>
      <c r="BM31" s="31">
        <f t="shared" si="100"/>
        <v>86.2349506867778</v>
      </c>
      <c r="BO31">
        <f t="shared" si="101"/>
        <v>0</v>
      </c>
      <c r="BP31">
        <f t="shared" si="102"/>
        <v>0</v>
      </c>
    </row>
    <row r="32" ht="15.75" spans="1:68">
      <c r="A32" s="87" t="s">
        <v>489</v>
      </c>
      <c r="N32" s="7">
        <v>14</v>
      </c>
      <c r="O32" s="18">
        <f t="shared" si="62"/>
        <v>13.8038426460289</v>
      </c>
      <c r="P32" s="86" t="str">
        <f t="shared" si="50"/>
        <v>60</v>
      </c>
      <c r="Q32" s="4" t="str">
        <f t="shared" si="51"/>
        <v>1+0,113329945693633i</v>
      </c>
      <c r="R32" s="4">
        <f t="shared" si="63"/>
        <v>1.00640134965675</v>
      </c>
      <c r="S32" s="4">
        <f t="shared" si="64"/>
        <v>0.11284845965646</v>
      </c>
      <c r="T32" s="4" t="str">
        <f t="shared" si="52"/>
        <v>1+0,0013599593483236i</v>
      </c>
      <c r="U32" s="4">
        <f t="shared" si="65"/>
        <v>1.00000092474429</v>
      </c>
      <c r="V32" s="4">
        <f t="shared" si="66"/>
        <v>0.00135995850991438</v>
      </c>
      <c r="W32" t="str">
        <f t="shared" si="53"/>
        <v>1-0,00189726471585323i</v>
      </c>
      <c r="X32" s="4">
        <f t="shared" si="67"/>
        <v>1.00000179980508</v>
      </c>
      <c r="Y32" s="4">
        <f t="shared" si="68"/>
        <v>-0.00189726243938498</v>
      </c>
      <c r="Z32" t="str">
        <f t="shared" si="54"/>
        <v>0,999999998444522+0,000506232264708129i</v>
      </c>
      <c r="AA32" s="4">
        <f t="shared" si="69"/>
        <v>1.00000012658007</v>
      </c>
      <c r="AB32" s="4">
        <f t="shared" si="70"/>
        <v>0.000506232222251335</v>
      </c>
      <c r="AC32" s="67" t="str">
        <f t="shared" si="71"/>
        <v>59,2322672736444-6,77540195383698i</v>
      </c>
      <c r="AD32" s="68">
        <f t="shared" si="72"/>
        <v>35.5076233628941</v>
      </c>
      <c r="AE32" s="31">
        <f t="shared" si="73"/>
        <v>-6.5255306801305</v>
      </c>
      <c r="AF32" s="32" t="str">
        <f t="shared" si="74"/>
        <v>326,048966736478</v>
      </c>
      <c r="AG32" s="32" t="str">
        <f t="shared" si="55"/>
        <v>1+0,0728549650887642i</v>
      </c>
      <c r="AH32" s="32">
        <f t="shared" si="75"/>
        <v>1.00265041063079</v>
      </c>
      <c r="AI32" s="32">
        <f t="shared" si="76"/>
        <v>0.0727264730738575</v>
      </c>
      <c r="AJ32" s="32" t="str">
        <f t="shared" si="56"/>
        <v>1+0,0013599593483236i</v>
      </c>
      <c r="AK32" s="32">
        <f t="shared" si="77"/>
        <v>1.00000092474429</v>
      </c>
      <c r="AL32" s="32">
        <f t="shared" si="78"/>
        <v>0.00135995850991438</v>
      </c>
      <c r="AM32" s="32" t="str">
        <f t="shared" si="57"/>
        <v>1-0,00022444063497699i</v>
      </c>
      <c r="AN32" s="32">
        <f t="shared" si="79"/>
        <v>1.0000000251868</v>
      </c>
      <c r="AO32" s="32">
        <f t="shared" si="80"/>
        <v>-0.000224440631208363</v>
      </c>
      <c r="AP32" s="30" t="str">
        <f t="shared" si="81"/>
        <v>324,354416421125-23,260594981551i</v>
      </c>
      <c r="AQ32" s="32">
        <f t="shared" si="82"/>
        <v>50.242674095689</v>
      </c>
      <c r="AR32" s="31">
        <f t="shared" si="83"/>
        <v>-4.10185958399236</v>
      </c>
      <c r="AS32" t="str">
        <f t="shared" si="58"/>
        <v>-0,000100699300699301</v>
      </c>
      <c r="AT32" t="str">
        <f t="shared" si="59"/>
        <v>0,0000194887031612444i</v>
      </c>
      <c r="AU32">
        <f t="shared" si="84"/>
        <v>1.94887031612444e-5</v>
      </c>
      <c r="AV32">
        <f t="shared" si="85"/>
        <v>1.5707963267949</v>
      </c>
      <c r="AW32" t="str">
        <f t="shared" si="60"/>
        <v>1+0,000997785856032675i</v>
      </c>
      <c r="AX32">
        <f t="shared" si="86"/>
        <v>1.00000049778818</v>
      </c>
      <c r="AY32">
        <f t="shared" si="87"/>
        <v>0.000997785524908785</v>
      </c>
      <c r="AZ32" t="str">
        <f t="shared" si="61"/>
        <v>1+0,0477026557128812i</v>
      </c>
      <c r="BA32">
        <f t="shared" si="88"/>
        <v>1.00113712515422</v>
      </c>
      <c r="BB32">
        <f t="shared" si="89"/>
        <v>0.0476665218806739</v>
      </c>
      <c r="BC32" s="30" t="str">
        <f t="shared" si="90"/>
        <v>-0,241326629719007+5,16730090225699i</v>
      </c>
      <c r="BD32" s="32">
        <f t="shared" si="91"/>
        <v>14.274737285514</v>
      </c>
      <c r="BE32" s="31">
        <f t="shared" si="92"/>
        <v>92.6739216283941</v>
      </c>
      <c r="BF32" s="30" t="str">
        <f t="shared" si="93"/>
        <v>20,7162171974516+307,706033044341i</v>
      </c>
      <c r="BG32" s="68">
        <f t="shared" si="94"/>
        <v>49.7823606484081</v>
      </c>
      <c r="BH32" s="31">
        <f t="shared" si="95"/>
        <v>86.1483909482636</v>
      </c>
      <c r="BI32" s="30" t="str">
        <f t="shared" si="96"/>
        <v>41,9191352858175+1681,65026961608i</v>
      </c>
      <c r="BJ32" s="68">
        <f t="shared" si="97"/>
        <v>64.517411381203</v>
      </c>
      <c r="BK32" s="31">
        <f t="shared" si="98"/>
        <v>88.5720620444017</v>
      </c>
      <c r="BL32" s="32">
        <f t="shared" si="99"/>
        <v>49.7823606484081</v>
      </c>
      <c r="BM32" s="31">
        <f t="shared" si="100"/>
        <v>86.1483909482636</v>
      </c>
      <c r="BO32">
        <f t="shared" si="101"/>
        <v>0</v>
      </c>
      <c r="BP32">
        <f t="shared" si="102"/>
        <v>0</v>
      </c>
    </row>
    <row r="33" spans="1:68">
      <c r="N33" s="7">
        <v>15</v>
      </c>
      <c r="O33" s="18">
        <f t="shared" si="62"/>
        <v>14.1253754462275</v>
      </c>
      <c r="P33" s="86" t="str">
        <f t="shared" si="50"/>
        <v>60</v>
      </c>
      <c r="Q33" s="4" t="str">
        <f t="shared" si="51"/>
        <v>1+0,115969739243852i</v>
      </c>
      <c r="R33" s="4">
        <f t="shared" si="63"/>
        <v>1.00670203159638</v>
      </c>
      <c r="S33" s="4">
        <f t="shared" si="64"/>
        <v>0.115454002982824</v>
      </c>
      <c r="T33" s="4" t="str">
        <f t="shared" si="52"/>
        <v>1+0,00139163687092623i</v>
      </c>
      <c r="U33" s="4">
        <f t="shared" si="65"/>
        <v>1.00000096832612</v>
      </c>
      <c r="V33" s="4">
        <f t="shared" si="66"/>
        <v>0.00139163597255462</v>
      </c>
      <c r="W33" t="str">
        <f t="shared" si="53"/>
        <v>1-0,00194145768823414i</v>
      </c>
      <c r="X33" s="4">
        <f t="shared" si="67"/>
        <v>1.0000018846272</v>
      </c>
      <c r="Y33" s="4">
        <f t="shared" si="68"/>
        <v>-0.00194145524895471</v>
      </c>
      <c r="Z33" t="str">
        <f t="shared" si="54"/>
        <v>0,999999998371214+0,00051802392894224i</v>
      </c>
      <c r="AA33" s="4">
        <f t="shared" si="69"/>
        <v>1.0000001325456</v>
      </c>
      <c r="AB33" s="4">
        <f t="shared" si="70"/>
        <v>0.000518023883448966</v>
      </c>
      <c r="AC33" s="67" t="str">
        <f t="shared" si="71"/>
        <v>59,196565299757-6,9290809936571i</v>
      </c>
      <c r="AD33" s="68">
        <f t="shared" si="72"/>
        <v>35.5050297358255</v>
      </c>
      <c r="AE33" s="31">
        <f t="shared" si="73"/>
        <v>-6.67621000504787</v>
      </c>
      <c r="AF33" s="32" t="str">
        <f t="shared" si="74"/>
        <v>326,048966736478</v>
      </c>
      <c r="AG33" s="32" t="str">
        <f t="shared" si="55"/>
        <v>1+0,0745519752281908i</v>
      </c>
      <c r="AH33" s="32">
        <f t="shared" si="75"/>
        <v>1.0027751477826</v>
      </c>
      <c r="AI33" s="32">
        <f t="shared" si="76"/>
        <v>0.0744143141242698</v>
      </c>
      <c r="AJ33" s="32" t="str">
        <f t="shared" si="56"/>
        <v>1+0,00139163687092623i</v>
      </c>
      <c r="AK33" s="32">
        <f t="shared" si="77"/>
        <v>1.00000096832612</v>
      </c>
      <c r="AL33" s="32">
        <f t="shared" si="78"/>
        <v>0.00139163597255462</v>
      </c>
      <c r="AM33" s="32" t="str">
        <f t="shared" si="57"/>
        <v>1-0,000229668528954995i</v>
      </c>
      <c r="AN33" s="32">
        <f t="shared" si="79"/>
        <v>1.00000002637382</v>
      </c>
      <c r="AO33" s="32">
        <f t="shared" si="80"/>
        <v>-0.000229668524916838</v>
      </c>
      <c r="AP33" s="30" t="str">
        <f t="shared" si="81"/>
        <v>324,274996142832-23,7964829022819i</v>
      </c>
      <c r="AQ33" s="32">
        <f t="shared" si="82"/>
        <v>50.2415939626275</v>
      </c>
      <c r="AR33" s="31">
        <f t="shared" si="83"/>
        <v>-4.19705030400018</v>
      </c>
      <c r="AS33" t="str">
        <f t="shared" si="58"/>
        <v>-0,000100699300699301</v>
      </c>
      <c r="AT33" t="str">
        <f t="shared" si="59"/>
        <v>0,000019942653373541i</v>
      </c>
      <c r="AU33">
        <f t="shared" si="84"/>
        <v>1.9942653373541e-5</v>
      </c>
      <c r="AV33">
        <f t="shared" si="85"/>
        <v>1.5707963267949</v>
      </c>
      <c r="AW33" t="str">
        <f t="shared" si="60"/>
        <v>1+0,00102102727427508i</v>
      </c>
      <c r="AX33">
        <f t="shared" si="86"/>
        <v>1.00000052124821</v>
      </c>
      <c r="AY33">
        <f t="shared" si="87"/>
        <v>0.00102102691946945</v>
      </c>
      <c r="AZ33" t="str">
        <f t="shared" si="61"/>
        <v>1+0,0488137933041725i</v>
      </c>
      <c r="BA33">
        <f t="shared" si="88"/>
        <v>1.00119068434377</v>
      </c>
      <c r="BB33">
        <f t="shared" si="89"/>
        <v>0.0487750776918606</v>
      </c>
      <c r="BC33" s="30" t="str">
        <f t="shared" si="90"/>
        <v>-0,241326618395955+5,04968986342755i</v>
      </c>
      <c r="BD33" s="32">
        <f t="shared" si="91"/>
        <v>14.0752017501228</v>
      </c>
      <c r="BE33" s="31">
        <f t="shared" si="92"/>
        <v>92.7361055639115</v>
      </c>
      <c r="BF33" s="30" t="str">
        <f t="shared" si="93"/>
        <v>20,7040031320931+300,596467428701i</v>
      </c>
      <c r="BG33" s="68">
        <f t="shared" si="94"/>
        <v>49.5802314859483</v>
      </c>
      <c r="BH33" s="31">
        <f t="shared" si="95"/>
        <v>86.0598955588636</v>
      </c>
      <c r="BI33" s="30" t="str">
        <f t="shared" si="96"/>
        <v>41,9086702473689+1643,23088573399i</v>
      </c>
      <c r="BJ33" s="68">
        <f t="shared" si="97"/>
        <v>64.3167957127502</v>
      </c>
      <c r="BK33" s="31">
        <f t="shared" si="98"/>
        <v>88.5390552599113</v>
      </c>
      <c r="BL33" s="32">
        <f t="shared" si="99"/>
        <v>49.5802314859483</v>
      </c>
      <c r="BM33" s="31">
        <f t="shared" si="100"/>
        <v>86.0598955588636</v>
      </c>
      <c r="BO33">
        <f t="shared" si="101"/>
        <v>0</v>
      </c>
      <c r="BP33">
        <f t="shared" si="102"/>
        <v>0</v>
      </c>
    </row>
    <row r="34" spans="1:68">
      <c r="A34" t="s">
        <v>450</v>
      </c>
      <c r="B34" s="88">
        <f>(Gcomp*(VOUT/IOUT)*(1-DC_VIN_Var))/(R_cs*Acs*(1+DC_VIN_Var))</f>
        <v>60</v>
      </c>
      <c r="C34" t="s">
        <v>244</v>
      </c>
      <c r="E34" t="s">
        <v>490</v>
      </c>
      <c r="N34" s="7">
        <v>16</v>
      </c>
      <c r="O34" s="18">
        <f t="shared" si="62"/>
        <v>14.4543977074593</v>
      </c>
      <c r="P34" s="86" t="str">
        <f t="shared" si="50"/>
        <v>60</v>
      </c>
      <c r="Q34" s="4" t="str">
        <f t="shared" si="51"/>
        <v>1+0,118671021484861i</v>
      </c>
      <c r="R34" s="4">
        <f t="shared" si="63"/>
        <v>1.00701678801312</v>
      </c>
      <c r="S34" s="4">
        <f t="shared" si="64"/>
        <v>0.118118607878839</v>
      </c>
      <c r="T34" s="4" t="str">
        <f t="shared" si="52"/>
        <v>1+0,00142405225781833i</v>
      </c>
      <c r="U34" s="4">
        <f t="shared" si="65"/>
        <v>1.0000010139619</v>
      </c>
      <c r="V34" s="4">
        <f t="shared" si="66"/>
        <v>0.00142405129519586</v>
      </c>
      <c r="W34" t="str">
        <f t="shared" si="53"/>
        <v>1-0,0019866800471796i</v>
      </c>
      <c r="X34" s="4">
        <f t="shared" si="67"/>
        <v>1.00000197344686</v>
      </c>
      <c r="Y34" s="4">
        <f t="shared" si="68"/>
        <v>-0.00198667743344488</v>
      </c>
      <c r="Z34" t="str">
        <f t="shared" si="54"/>
        <v>0,999999998294452+0,000530090256320341i</v>
      </c>
      <c r="AA34" s="4">
        <f t="shared" si="69"/>
        <v>1.00000013879228</v>
      </c>
      <c r="AB34" s="4">
        <f t="shared" si="70"/>
        <v>0.00053009020757342</v>
      </c>
      <c r="AC34" s="67" t="str">
        <f t="shared" si="71"/>
        <v>59,1592264248274-7,08604898455429i</v>
      </c>
      <c r="AD34" s="68">
        <f t="shared" si="72"/>
        <v>35.5023155353618</v>
      </c>
      <c r="AE34" s="31">
        <f t="shared" si="73"/>
        <v>-6.83030574823876</v>
      </c>
      <c r="AF34" s="32" t="str">
        <f t="shared" si="74"/>
        <v>326,048966736478</v>
      </c>
      <c r="AG34" s="32" t="str">
        <f t="shared" si="55"/>
        <v>1+0,0762885138116965i</v>
      </c>
      <c r="AH34" s="32">
        <f t="shared" si="75"/>
        <v>1.00290574698702</v>
      </c>
      <c r="AI34" s="32">
        <f t="shared" si="76"/>
        <v>0.0761410303534819</v>
      </c>
      <c r="AJ34" s="32" t="str">
        <f t="shared" si="56"/>
        <v>1+0,00142405225781833i</v>
      </c>
      <c r="AK34" s="32">
        <f t="shared" si="77"/>
        <v>1.0000010139619</v>
      </c>
      <c r="AL34" s="32">
        <f t="shared" si="78"/>
        <v>0.00142405129519586</v>
      </c>
      <c r="AM34" s="32" t="str">
        <f t="shared" si="57"/>
        <v>1-0,000235018196227077i</v>
      </c>
      <c r="AN34" s="32">
        <f t="shared" si="79"/>
        <v>1.00000002761678</v>
      </c>
      <c r="AO34" s="32">
        <f t="shared" si="80"/>
        <v>-0.000235018191900114</v>
      </c>
      <c r="AP34" s="30" t="str">
        <f t="shared" si="81"/>
        <v>324,191875242898-24,3444330249113i</v>
      </c>
      <c r="AQ34" s="32">
        <f t="shared" si="82"/>
        <v>50.2404632125254</v>
      </c>
      <c r="AR34" s="31">
        <f t="shared" si="83"/>
        <v>-4.29443310851182</v>
      </c>
      <c r="AS34" t="str">
        <f t="shared" si="58"/>
        <v>-0,000100699300699301</v>
      </c>
      <c r="AT34" t="str">
        <f t="shared" si="59"/>
        <v>0,0000204071774446288i</v>
      </c>
      <c r="AU34">
        <f t="shared" si="84"/>
        <v>2.04071774446288e-5</v>
      </c>
      <c r="AV34">
        <f t="shared" si="85"/>
        <v>1.5707963267949</v>
      </c>
      <c r="AW34" t="str">
        <f t="shared" si="60"/>
        <v>1+0,00104481005469322i</v>
      </c>
      <c r="AX34">
        <f t="shared" si="86"/>
        <v>1.00000054581388</v>
      </c>
      <c r="AY34">
        <f t="shared" si="87"/>
        <v>0.00104480967451215</v>
      </c>
      <c r="AZ34" t="str">
        <f t="shared" si="61"/>
        <v>1+0,0499508126148012i</v>
      </c>
      <c r="BA34">
        <f t="shared" si="88"/>
        <v>1.00124676462942</v>
      </c>
      <c r="BB34">
        <f t="shared" si="89"/>
        <v>0.0499093308782242</v>
      </c>
      <c r="BC34" s="30" t="str">
        <f t="shared" si="90"/>
        <v>-0,241326606539263+4,93475623700309i</v>
      </c>
      <c r="BD34" s="32">
        <f t="shared" si="91"/>
        <v>13.8756880509935</v>
      </c>
      <c r="BE34" s="31">
        <f t="shared" si="92"/>
        <v>92.7997308329002</v>
      </c>
      <c r="BF34" s="30" t="str">
        <f t="shared" si="93"/>
        <v>20,6912290636472+293,646413731409i</v>
      </c>
      <c r="BG34" s="68">
        <f t="shared" si="94"/>
        <v>49.3780035863553</v>
      </c>
      <c r="BH34" s="31">
        <f t="shared" si="95"/>
        <v>85.9694250846615</v>
      </c>
      <c r="BI34" s="30" t="str">
        <f t="shared" si="96"/>
        <v>41,8977175860164+1605,68283775064i</v>
      </c>
      <c r="BJ34" s="68">
        <f t="shared" si="97"/>
        <v>64.1161512635189</v>
      </c>
      <c r="BK34" s="31">
        <f t="shared" si="98"/>
        <v>88.5052977243884</v>
      </c>
      <c r="BL34" s="32">
        <f t="shared" si="99"/>
        <v>49.3780035863553</v>
      </c>
      <c r="BM34" s="31">
        <f t="shared" si="100"/>
        <v>85.9694250846615</v>
      </c>
      <c r="BO34">
        <f t="shared" si="101"/>
        <v>0</v>
      </c>
      <c r="BP34">
        <f t="shared" si="102"/>
        <v>0</v>
      </c>
    </row>
    <row r="35" spans="1:68">
      <c r="A35" t="s">
        <v>442</v>
      </c>
      <c r="B35" s="89">
        <f>(1+DC_VIN_Var)/(Cout*(VOUT/IOUT))</f>
        <v>765.30612244898</v>
      </c>
      <c r="C35" t="s">
        <v>324</v>
      </c>
      <c r="E35" t="s">
        <v>491</v>
      </c>
      <c r="N35" s="7">
        <v>17</v>
      </c>
      <c r="O35" s="18">
        <f t="shared" si="62"/>
        <v>14.7910838816821</v>
      </c>
      <c r="P35" s="86" t="str">
        <f t="shared" si="50"/>
        <v>60</v>
      </c>
      <c r="Q35" s="4" t="str">
        <f t="shared" si="51"/>
        <v>1+0,121435224672257i</v>
      </c>
      <c r="R35" s="4">
        <f t="shared" si="63"/>
        <v>1.00734627303187</v>
      </c>
      <c r="S35" s="4">
        <f t="shared" si="64"/>
        <v>0.120843535719615</v>
      </c>
      <c r="T35" s="4" t="str">
        <f t="shared" si="52"/>
        <v>1+0,00145722269606709i</v>
      </c>
      <c r="U35" s="4">
        <f t="shared" si="65"/>
        <v>1.00000106174843</v>
      </c>
      <c r="V35" s="4">
        <f t="shared" si="66"/>
        <v>0.00145722166459858</v>
      </c>
      <c r="W35" t="str">
        <f t="shared" si="53"/>
        <v>1-0,00203295577018288i</v>
      </c>
      <c r="X35" s="4">
        <f t="shared" si="67"/>
        <v>1.00000206645245</v>
      </c>
      <c r="Y35" s="4">
        <f t="shared" si="68"/>
        <v>-0.00203295296951598</v>
      </c>
      <c r="Z35" t="str">
        <f t="shared" si="54"/>
        <v>0,999999998214072+0,000542437644568913i</v>
      </c>
      <c r="AA35" s="4">
        <f t="shared" si="69"/>
        <v>1.00000014533336</v>
      </c>
      <c r="AB35" s="4">
        <f t="shared" si="70"/>
        <v>0.000542437592335646</v>
      </c>
      <c r="AC35" s="67" t="str">
        <f t="shared" si="71"/>
        <v>59,120177817396-7,246362395895i</v>
      </c>
      <c r="AD35" s="68">
        <f t="shared" si="72"/>
        <v>35.4994752369774</v>
      </c>
      <c r="AE35" s="31">
        <f t="shared" si="73"/>
        <v>-6.98789093676772</v>
      </c>
      <c r="AF35" s="32" t="str">
        <f t="shared" si="74"/>
        <v>326,048966736478</v>
      </c>
      <c r="AG35" s="32" t="str">
        <f t="shared" si="55"/>
        <v>1+0,0780655015750225i</v>
      </c>
      <c r="AH35" s="32">
        <f t="shared" si="75"/>
        <v>1.00304248291693</v>
      </c>
      <c r="AI35" s="32">
        <f t="shared" si="76"/>
        <v>0.0779074960799343</v>
      </c>
      <c r="AJ35" s="32" t="str">
        <f t="shared" si="56"/>
        <v>1+0,00145722269606709i</v>
      </c>
      <c r="AK35" s="32">
        <f t="shared" si="77"/>
        <v>1.00000106174843</v>
      </c>
      <c r="AL35" s="32">
        <f t="shared" si="78"/>
        <v>0.00145722166459858</v>
      </c>
      <c r="AM35" s="32" t="str">
        <f t="shared" si="57"/>
        <v>1-0,000240492473257631i</v>
      </c>
      <c r="AN35" s="32">
        <f t="shared" si="79"/>
        <v>1.00000002891831</v>
      </c>
      <c r="AO35" s="32">
        <f t="shared" si="80"/>
        <v>-0.000240492468621206</v>
      </c>
      <c r="AP35" s="30" t="str">
        <f t="shared" si="81"/>
        <v>324,104883365071-24,9046966508643i</v>
      </c>
      <c r="AQ35" s="32">
        <f t="shared" si="82"/>
        <v>50.2392794875023</v>
      </c>
      <c r="AR35" s="31">
        <f t="shared" si="83"/>
        <v>-4.39405727007238</v>
      </c>
      <c r="AS35" t="str">
        <f t="shared" si="58"/>
        <v>-0,000100699300699301</v>
      </c>
      <c r="AT35" t="str">
        <f t="shared" si="59"/>
        <v>0,0000208825216713185i</v>
      </c>
      <c r="AU35">
        <f t="shared" si="84"/>
        <v>2.08825216713185e-5</v>
      </c>
      <c r="AV35">
        <f t="shared" si="85"/>
        <v>1.5707963267949</v>
      </c>
      <c r="AW35" t="str">
        <f t="shared" si="60"/>
        <v>1+0,00106914680723204i</v>
      </c>
      <c r="AX35">
        <f t="shared" si="86"/>
        <v>1.00000057153728</v>
      </c>
      <c r="AY35">
        <f t="shared" si="87"/>
        <v>0.00106914639986069</v>
      </c>
      <c r="AZ35" t="str">
        <f t="shared" si="61"/>
        <v>1+0,0511143165074551i</v>
      </c>
      <c r="BA35">
        <f t="shared" si="88"/>
        <v>1.00130548453108</v>
      </c>
      <c r="BB35">
        <f t="shared" si="89"/>
        <v>0.0510698711551764</v>
      </c>
      <c r="BC35" s="30" t="str">
        <f t="shared" si="90"/>
        <v>-0,241326594123785+4,82243908365358i</v>
      </c>
      <c r="BD35" s="32">
        <f t="shared" si="91"/>
        <v>13.6761972121104</v>
      </c>
      <c r="BE35" s="31">
        <f t="shared" si="92"/>
        <v>92.8648305010749</v>
      </c>
      <c r="BF35" s="30" t="str">
        <f t="shared" si="93"/>
        <v>20,6778700756169+286,852196095948i</v>
      </c>
      <c r="BG35" s="68">
        <f t="shared" si="94"/>
        <v>49.1756724490878</v>
      </c>
      <c r="BH35" s="31">
        <f t="shared" si="95"/>
        <v>85.8769395643072</v>
      </c>
      <c r="BI35" s="30" t="str">
        <f t="shared" si="96"/>
        <v>41,8862548542853+1568,98622236314i</v>
      </c>
      <c r="BJ35" s="68">
        <f t="shared" si="97"/>
        <v>63.9154766996127</v>
      </c>
      <c r="BK35" s="31">
        <f t="shared" si="98"/>
        <v>88.4707732310025</v>
      </c>
      <c r="BL35" s="32">
        <f t="shared" si="99"/>
        <v>49.1756724490878</v>
      </c>
      <c r="BM35" s="31">
        <f t="shared" si="100"/>
        <v>85.8769395643072</v>
      </c>
      <c r="BO35">
        <f t="shared" si="101"/>
        <v>0</v>
      </c>
      <c r="BP35">
        <f t="shared" si="102"/>
        <v>0</v>
      </c>
    </row>
    <row r="36" spans="1:68">
      <c r="B36" s="90">
        <f>wp_lf/(2*PI())</f>
        <v>121.802252366246</v>
      </c>
      <c r="C36" t="s">
        <v>111</v>
      </c>
      <c r="N36" s="7">
        <v>18</v>
      </c>
      <c r="O36" s="18">
        <f t="shared" si="62"/>
        <v>15.1356124843621</v>
      </c>
      <c r="P36" s="86" t="str">
        <f t="shared" si="50"/>
        <v>60</v>
      </c>
      <c r="Q36" s="4" t="str">
        <f t="shared" si="51"/>
        <v>1+0,12426381442316i</v>
      </c>
      <c r="R36" s="4">
        <f t="shared" si="63"/>
        <v>1.00769117073387</v>
      </c>
      <c r="S36" s="4">
        <f t="shared" si="64"/>
        <v>0.12363006934522</v>
      </c>
      <c r="T36" s="4" t="str">
        <f t="shared" si="52"/>
        <v>1+0,00149116577307792i</v>
      </c>
      <c r="U36" s="4">
        <f t="shared" si="65"/>
        <v>1.00000111178706</v>
      </c>
      <c r="V36" s="4">
        <f t="shared" si="66"/>
        <v>0.00149116466783957</v>
      </c>
      <c r="W36" t="str">
        <f t="shared" si="53"/>
        <v>1-0,00208030939324486i</v>
      </c>
      <c r="X36" s="4">
        <f t="shared" si="67"/>
        <v>1.00000216384124</v>
      </c>
      <c r="Y36" s="4">
        <f t="shared" si="68"/>
        <v>-0.00208030639227656</v>
      </c>
      <c r="Z36" t="str">
        <f t="shared" si="54"/>
        <v>0,999999998129904+0,000555072640436647i</v>
      </c>
      <c r="AA36" s="4">
        <f t="shared" si="69"/>
        <v>1.00000015218271</v>
      </c>
      <c r="AB36" s="4">
        <f t="shared" si="70"/>
        <v>0.000555072584467693</v>
      </c>
      <c r="AC36" s="67" t="str">
        <f t="shared" si="71"/>
        <v>59,0793436160635-7,41007764933608i</v>
      </c>
      <c r="AD36" s="68">
        <f t="shared" si="72"/>
        <v>35.4965030706881</v>
      </c>
      <c r="AE36" s="31">
        <f t="shared" si="73"/>
        <v>-7.14903984514951</v>
      </c>
      <c r="AF36" s="32" t="str">
        <f t="shared" si="74"/>
        <v>326,048966736478</v>
      </c>
      <c r="AG36" s="32" t="str">
        <f t="shared" si="55"/>
        <v>1+0,0798838807006027i</v>
      </c>
      <c r="AH36" s="32">
        <f t="shared" si="75"/>
        <v>1.00318564303711</v>
      </c>
      <c r="AI36" s="32">
        <f t="shared" si="76"/>
        <v>0.0797146037858388</v>
      </c>
      <c r="AJ36" s="32" t="str">
        <f t="shared" si="56"/>
        <v>1+0,00149116577307792i</v>
      </c>
      <c r="AK36" s="32">
        <f t="shared" si="77"/>
        <v>1.00000111178706</v>
      </c>
      <c r="AL36" s="32">
        <f t="shared" si="78"/>
        <v>0.00149116466783957</v>
      </c>
      <c r="AM36" s="32" t="str">
        <f t="shared" si="57"/>
        <v>1-0,0002460942625808i</v>
      </c>
      <c r="AN36" s="32">
        <f t="shared" si="79"/>
        <v>1.00000003028119</v>
      </c>
      <c r="AO36" s="32">
        <f t="shared" si="80"/>
        <v>-0.000246094257612782</v>
      </c>
      <c r="AP36" s="30" t="str">
        <f t="shared" si="81"/>
        <v>324,013842509731-25,4775288608806i</v>
      </c>
      <c r="AQ36" s="32">
        <f t="shared" si="82"/>
        <v>50.2380403211953</v>
      </c>
      <c r="AR36" s="31">
        <f t="shared" si="83"/>
        <v>-4.49597308278352</v>
      </c>
      <c r="AS36" t="str">
        <f t="shared" si="58"/>
        <v>-0,000100699300699301</v>
      </c>
      <c r="AT36" t="str">
        <f t="shared" si="59"/>
        <v>0,0000213689380874112i</v>
      </c>
      <c r="AU36">
        <f t="shared" si="84"/>
        <v>2.13689380874112e-5</v>
      </c>
      <c r="AV36">
        <f t="shared" si="85"/>
        <v>1.5707963267949</v>
      </c>
      <c r="AW36" t="str">
        <f t="shared" si="60"/>
        <v>1+0,00109405043555989i</v>
      </c>
      <c r="AX36">
        <f t="shared" si="86"/>
        <v>1.000000598473</v>
      </c>
      <c r="AY36">
        <f t="shared" si="87"/>
        <v>0.00109404999905364</v>
      </c>
      <c r="AZ36" t="str">
        <f t="shared" si="61"/>
        <v>1+0,0523049218872993i</v>
      </c>
      <c r="BA36">
        <f t="shared" si="88"/>
        <v>1.00136696812589</v>
      </c>
      <c r="BB36">
        <f t="shared" si="89"/>
        <v>0.0522573013448104</v>
      </c>
      <c r="BC36" s="30" t="str">
        <f t="shared" si="90"/>
        <v>-0,241326581123184+4,7126788513375i</v>
      </c>
      <c r="BD36" s="32">
        <f t="shared" si="91"/>
        <v>13.4767303052234</v>
      </c>
      <c r="BE36" s="31">
        <f t="shared" si="92"/>
        <v>92.9314383682789</v>
      </c>
      <c r="BF36" s="30" t="str">
        <f t="shared" si="93"/>
        <v>20,6639002149284+280,210221915295i</v>
      </c>
      <c r="BG36" s="68">
        <f t="shared" si="94"/>
        <v>48.9732333759115</v>
      </c>
      <c r="BH36" s="31">
        <f t="shared" si="95"/>
        <v>85.7823985231294</v>
      </c>
      <c r="BI36" s="30" t="str">
        <f t="shared" si="96"/>
        <v>41,8742585975536+1533,12158807167i</v>
      </c>
      <c r="BJ36" s="68">
        <f t="shared" si="97"/>
        <v>63.7147706264187</v>
      </c>
      <c r="BK36" s="31">
        <f t="shared" si="98"/>
        <v>88.4354652854954</v>
      </c>
      <c r="BL36" s="32">
        <f t="shared" si="99"/>
        <v>48.9732333759115</v>
      </c>
      <c r="BM36" s="31">
        <f t="shared" si="100"/>
        <v>85.7823985231294</v>
      </c>
      <c r="BO36">
        <f t="shared" si="101"/>
        <v>0</v>
      </c>
      <c r="BP36">
        <f t="shared" si="102"/>
        <v>0</v>
      </c>
    </row>
    <row r="37" spans="1:68">
      <c r="B37" s="12"/>
      <c r="C37" t="s">
        <v>492</v>
      </c>
      <c r="E37" t="s">
        <v>493</v>
      </c>
      <c r="N37" s="7">
        <v>19</v>
      </c>
      <c r="O37" s="18">
        <f t="shared" si="62"/>
        <v>15.4881661891248</v>
      </c>
      <c r="P37" s="86" t="str">
        <f t="shared" si="50"/>
        <v>60</v>
      </c>
      <c r="Q37" s="4" t="str">
        <f t="shared" si="51"/>
        <v>1+0,127158290493295i</v>
      </c>
      <c r="R37" s="4">
        <f t="shared" si="63"/>
        <v>1.00805219648646</v>
      </c>
      <c r="S37" s="4">
        <f t="shared" si="64"/>
        <v>0.126479513025614</v>
      </c>
      <c r="T37" s="4" t="str">
        <f t="shared" si="52"/>
        <v>1+0,00152589948591954i</v>
      </c>
      <c r="U37" s="4">
        <f t="shared" si="65"/>
        <v>1.00000116418394</v>
      </c>
      <c r="V37" s="4">
        <f t="shared" si="66"/>
        <v>0.00152589830163538</v>
      </c>
      <c r="W37" t="str">
        <f t="shared" si="53"/>
        <v>1-0,00212876602388329i</v>
      </c>
      <c r="X37" s="4">
        <f t="shared" si="67"/>
        <v>1.00000226581983</v>
      </c>
      <c r="Y37" s="4">
        <f t="shared" si="68"/>
        <v>-0.00212876280828822</v>
      </c>
      <c r="Z37" t="str">
        <f t="shared" si="54"/>
        <v>0,999999998041769+0,000568001943165595i</v>
      </c>
      <c r="AA37" s="4">
        <f t="shared" si="69"/>
        <v>1.00000015935486</v>
      </c>
      <c r="AB37" s="4">
        <f t="shared" si="70"/>
        <v>0.000568001883193781</v>
      </c>
      <c r="AC37" s="67" t="str">
        <f t="shared" si="71"/>
        <v>59,0366448235601-7,57725102933245i</v>
      </c>
      <c r="AD37" s="68">
        <f t="shared" si="72"/>
        <v>35.4933930108718</v>
      </c>
      <c r="AE37" s="31">
        <f t="shared" si="73"/>
        <v>-7.31382799374953</v>
      </c>
      <c r="AF37" s="32" t="str">
        <f t="shared" si="74"/>
        <v>326,048966736478</v>
      </c>
      <c r="AG37" s="32" t="str">
        <f t="shared" si="55"/>
        <v>1+0,0817446153171183i</v>
      </c>
      <c r="AH37" s="32">
        <f t="shared" si="75"/>
        <v>1.00333552819251</v>
      </c>
      <c r="AI37" s="32">
        <f t="shared" si="76"/>
        <v>0.0815632643863891</v>
      </c>
      <c r="AJ37" s="32" t="str">
        <f t="shared" si="56"/>
        <v>1+0,00152589948591954i</v>
      </c>
      <c r="AK37" s="32">
        <f t="shared" si="77"/>
        <v>1.00000116418394</v>
      </c>
      <c r="AL37" s="32">
        <f t="shared" si="78"/>
        <v>0.00152589830163538</v>
      </c>
      <c r="AM37" s="32" t="str">
        <f t="shared" si="57"/>
        <v>1-0,000251826534339432i</v>
      </c>
      <c r="AN37" s="32">
        <f t="shared" si="79"/>
        <v>1.0000000317083</v>
      </c>
      <c r="AO37" s="32">
        <f t="shared" si="80"/>
        <v>-0.000251826529016104</v>
      </c>
      <c r="AP37" s="30" t="str">
        <f t="shared" si="81"/>
        <v>323,918566710068-26,0631884603772i</v>
      </c>
      <c r="AQ37" s="32">
        <f t="shared" si="82"/>
        <v>50.236743133898</v>
      </c>
      <c r="AR37" s="31">
        <f t="shared" si="83"/>
        <v>-4.60023187728194</v>
      </c>
      <c r="AS37" t="str">
        <f t="shared" si="58"/>
        <v>-0,000100699300699301</v>
      </c>
      <c r="AT37" t="str">
        <f t="shared" si="59"/>
        <v>0,0000218666845973291i</v>
      </c>
      <c r="AU37">
        <f t="shared" si="84"/>
        <v>2.18666845973291e-5</v>
      </c>
      <c r="AV37">
        <f t="shared" si="85"/>
        <v>1.5707963267949</v>
      </c>
      <c r="AW37" t="str">
        <f t="shared" si="60"/>
        <v>1+0,00111953414391014i</v>
      </c>
      <c r="AX37">
        <f t="shared" si="86"/>
        <v>1.00000062667815</v>
      </c>
      <c r="AY37">
        <f t="shared" si="87"/>
        <v>0.00111953367618529</v>
      </c>
      <c r="AZ37" t="str">
        <f t="shared" si="61"/>
        <v>1+0,0535232600290655i</v>
      </c>
      <c r="BA37">
        <f t="shared" si="88"/>
        <v>1.00143134530738</v>
      </c>
      <c r="BB37">
        <f t="shared" si="89"/>
        <v>0.0534722376366077</v>
      </c>
      <c r="BC37" s="30" t="str">
        <f t="shared" si="90"/>
        <v>-0,241326567509887+4,60541734372674i</v>
      </c>
      <c r="BD37" s="32">
        <f t="shared" si="91"/>
        <v>13.2772884520529</v>
      </c>
      <c r="BE37" s="31">
        <f t="shared" si="92"/>
        <v>92.99958898303</v>
      </c>
      <c r="BF37" s="30" t="str">
        <f t="shared" si="93"/>
        <v>20,6492924556889+273,716979967929i</v>
      </c>
      <c r="BG37" s="68">
        <f t="shared" si="94"/>
        <v>48.7706814629247</v>
      </c>
      <c r="BH37" s="31">
        <f t="shared" si="95"/>
        <v>85.6857609892805</v>
      </c>
      <c r="BI37" s="30" t="str">
        <f t="shared" si="96"/>
        <v>41,8617043113767+1498,06992489116i</v>
      </c>
      <c r="BJ37" s="68">
        <f t="shared" si="97"/>
        <v>63.5140315859509</v>
      </c>
      <c r="BK37" s="31">
        <f t="shared" si="98"/>
        <v>88.3993571057481</v>
      </c>
      <c r="BL37" s="32">
        <f t="shared" si="99"/>
        <v>48.7706814629247</v>
      </c>
      <c r="BM37" s="31">
        <f t="shared" si="100"/>
        <v>85.6857609892805</v>
      </c>
      <c r="BO37">
        <f t="shared" si="101"/>
        <v>0</v>
      </c>
      <c r="BP37">
        <f t="shared" si="102"/>
        <v>0</v>
      </c>
    </row>
    <row r="38" spans="1:68">
      <c r="A38" t="s">
        <v>494</v>
      </c>
      <c r="B38" s="89">
        <f>((VOUT/IOUT)*((1-DC_VIN_Var)^2))/(Lm*DC_VIN_Var)</f>
        <v>45714.2857142857</v>
      </c>
      <c r="C38" t="s">
        <v>324</v>
      </c>
      <c r="E38" t="s">
        <v>495</v>
      </c>
      <c r="N38" s="7">
        <v>20</v>
      </c>
      <c r="O38" s="18">
        <f t="shared" si="62"/>
        <v>15.8489319246111</v>
      </c>
      <c r="P38" s="86" t="str">
        <f t="shared" si="50"/>
        <v>60</v>
      </c>
      <c r="Q38" s="4" t="str">
        <f t="shared" si="51"/>
        <v>1+0,130120187572189i</v>
      </c>
      <c r="R38" s="4">
        <f t="shared" si="63"/>
        <v>1.008430098328</v>
      </c>
      <c r="S38" s="4">
        <f t="shared" si="64"/>
        <v>0.129393192390172</v>
      </c>
      <c r="T38" s="4" t="str">
        <f t="shared" si="52"/>
        <v>1+0,00156144225086627i</v>
      </c>
      <c r="U38" s="4">
        <f t="shared" si="65"/>
        <v>1.00000121905021</v>
      </c>
      <c r="V38" s="4">
        <f t="shared" si="66"/>
        <v>0.00156144098188302</v>
      </c>
      <c r="W38" t="str">
        <f t="shared" si="53"/>
        <v>1-0,00217835135444513i</v>
      </c>
      <c r="X38" s="4">
        <f t="shared" si="67"/>
        <v>1.0000023726045</v>
      </c>
      <c r="Y38" s="4">
        <f t="shared" si="68"/>
        <v>-0.00217834790887337</v>
      </c>
      <c r="Z38" t="str">
        <f t="shared" si="54"/>
        <v>0,99999999794948+0,000581232408043203i</v>
      </c>
      <c r="AA38" s="4">
        <f t="shared" si="69"/>
        <v>1.00000016686502</v>
      </c>
      <c r="AB38" s="4">
        <f t="shared" si="70"/>
        <v>0.000581232343782248</v>
      </c>
      <c r="AC38" s="67" t="str">
        <f t="shared" si="71"/>
        <v>58,9919991991001-7,74793858629455i</v>
      </c>
      <c r="AD38" s="68">
        <f t="shared" si="72"/>
        <v>35.4901387657383</v>
      </c>
      <c r="AE38" s="31">
        <f t="shared" si="73"/>
        <v>-7.48233214516529</v>
      </c>
      <c r="AF38" s="32" t="str">
        <f t="shared" si="74"/>
        <v>326,048966736478</v>
      </c>
      <c r="AG38" s="32" t="str">
        <f t="shared" si="55"/>
        <v>1+0,083648692010693i</v>
      </c>
      <c r="AH38" s="32">
        <f t="shared" si="75"/>
        <v>1.00349245322279</v>
      </c>
      <c r="AI38" s="32">
        <f t="shared" si="76"/>
        <v>0.0834544074946716</v>
      </c>
      <c r="AJ38" s="32" t="str">
        <f t="shared" si="56"/>
        <v>1+0,00156144225086627i</v>
      </c>
      <c r="AK38" s="32">
        <f t="shared" si="77"/>
        <v>1.00000121905021</v>
      </c>
      <c r="AL38" s="32">
        <f t="shared" si="78"/>
        <v>0.00156144098188302</v>
      </c>
      <c r="AM38" s="32" t="str">
        <f t="shared" si="57"/>
        <v>1-0,000257692327859889i</v>
      </c>
      <c r="AN38" s="32">
        <f t="shared" si="79"/>
        <v>1.00000003320267</v>
      </c>
      <c r="AO38" s="32">
        <f t="shared" si="80"/>
        <v>-0.000257692322155841</v>
      </c>
      <c r="AP38" s="30" t="str">
        <f t="shared" si="81"/>
        <v>323,818861696373-26,6619379140141i</v>
      </c>
      <c r="AQ38" s="32">
        <f t="shared" si="82"/>
        <v>50.2353852274936</v>
      </c>
      <c r="AR38" s="31">
        <f t="shared" si="83"/>
        <v>-4.70688603546143</v>
      </c>
      <c r="AS38" t="str">
        <f t="shared" si="58"/>
        <v>-0,000100699300699301</v>
      </c>
      <c r="AT38" t="str">
        <f t="shared" si="59"/>
        <v>0,0000223760251128604i</v>
      </c>
      <c r="AU38">
        <f t="shared" si="84"/>
        <v>2.23760251128604e-5</v>
      </c>
      <c r="AV38">
        <f t="shared" si="85"/>
        <v>1.5707963267949</v>
      </c>
      <c r="AW38" t="str">
        <f t="shared" si="60"/>
        <v>1+0,00114561144408228i</v>
      </c>
      <c r="AX38">
        <f t="shared" si="86"/>
        <v>1.00000065621258</v>
      </c>
      <c r="AY38">
        <f t="shared" si="87"/>
        <v>0.00114561094290609</v>
      </c>
      <c r="AZ38" t="str">
        <f t="shared" si="61"/>
        <v>1+0,0547699769117632i</v>
      </c>
      <c r="BA38">
        <f t="shared" si="88"/>
        <v>1.00149875205659</v>
      </c>
      <c r="BB38">
        <f t="shared" si="89"/>
        <v>0.0547153098510857</v>
      </c>
      <c r="BC38" s="30" t="str">
        <f t="shared" si="90"/>
        <v>-0,241326553255014+4,50059768935009i</v>
      </c>
      <c r="BD38" s="32">
        <f t="shared" si="91"/>
        <v>13.0778728265921</v>
      </c>
      <c r="BE38" s="31">
        <f t="shared" si="92"/>
        <v>93.0693176572253</v>
      </c>
      <c r="BF38" s="30" t="str">
        <f t="shared" si="93"/>
        <v>20,6340186623623+267,369038599474i</v>
      </c>
      <c r="BG38" s="68">
        <f t="shared" si="94"/>
        <v>48.5680115923304</v>
      </c>
      <c r="BH38" s="31">
        <f t="shared" si="95"/>
        <v>85.58698551206</v>
      </c>
      <c r="BI38" s="30" t="str">
        <f t="shared" si="96"/>
        <v>41,8485663972596+1463,81265429856i</v>
      </c>
      <c r="BJ38" s="68">
        <f t="shared" si="97"/>
        <v>63.3132580540857</v>
      </c>
      <c r="BK38" s="31">
        <f t="shared" si="98"/>
        <v>88.3624316217638</v>
      </c>
      <c r="BL38" s="32">
        <f t="shared" si="99"/>
        <v>48.5680115923304</v>
      </c>
      <c r="BM38" s="31">
        <f t="shared" si="100"/>
        <v>85.58698551206</v>
      </c>
      <c r="BO38">
        <f t="shared" si="101"/>
        <v>0</v>
      </c>
      <c r="BP38">
        <f t="shared" si="102"/>
        <v>0</v>
      </c>
    </row>
    <row r="39" spans="1:68">
      <c r="B39" s="12">
        <f>wz_rhp/2*PI()</f>
        <v>71807.8320820524</v>
      </c>
      <c r="C39" t="s">
        <v>111</v>
      </c>
      <c r="N39" s="7">
        <v>21</v>
      </c>
      <c r="O39" s="18">
        <f t="shared" si="62"/>
        <v>16.2181009735893</v>
      </c>
      <c r="P39" s="86" t="str">
        <f t="shared" si="50"/>
        <v>60</v>
      </c>
      <c r="Q39" s="4" t="str">
        <f t="shared" si="51"/>
        <v>1+0,133151076096878i</v>
      </c>
      <c r="R39" s="4">
        <f t="shared" si="63"/>
        <v>1.0088256584097</v>
      </c>
      <c r="S39" s="4">
        <f t="shared" si="64"/>
        <v>0.132372454318893</v>
      </c>
      <c r="T39" s="4" t="str">
        <f t="shared" si="52"/>
        <v>1+0,00159781291316254i</v>
      </c>
      <c r="U39" s="4">
        <f t="shared" si="65"/>
        <v>1.00000127650224</v>
      </c>
      <c r="V39" s="4">
        <f t="shared" si="66"/>
        <v>0.00159781155342258</v>
      </c>
      <c r="W39" t="str">
        <f t="shared" si="53"/>
        <v>1-0,00222909167572899i</v>
      </c>
      <c r="X39" s="4">
        <f t="shared" si="67"/>
        <v>1.00000248442176</v>
      </c>
      <c r="Y39" s="4">
        <f t="shared" si="68"/>
        <v>-0.00222908798373283</v>
      </c>
      <c r="Z39" t="str">
        <f t="shared" si="54"/>
        <v>0,999999997852842+0,000594771050037078i</v>
      </c>
      <c r="AA39" s="4">
        <f t="shared" si="69"/>
        <v>1.00000017472913</v>
      </c>
      <c r="AB39" s="4">
        <f t="shared" si="70"/>
        <v>0.000594770981180224</v>
      </c>
      <c r="AC39" s="67" t="str">
        <f t="shared" si="71"/>
        <v>58,9453211492148-7,92219603196444i</v>
      </c>
      <c r="AD39" s="68">
        <f t="shared" si="72"/>
        <v>35.4867337664397</v>
      </c>
      <c r="AE39" s="31">
        <f t="shared" si="73"/>
        <v>-7.65463029842224</v>
      </c>
      <c r="AF39" s="32" t="str">
        <f t="shared" si="74"/>
        <v>326,048966736478</v>
      </c>
      <c r="AG39" s="32" t="str">
        <f t="shared" si="55"/>
        <v>1+0,0855971203479933i</v>
      </c>
      <c r="AH39" s="32">
        <f t="shared" si="75"/>
        <v>1.00365674760441</v>
      </c>
      <c r="AI39" s="32">
        <f t="shared" si="76"/>
        <v>0.0853889816814677</v>
      </c>
      <c r="AJ39" s="32" t="str">
        <f t="shared" si="56"/>
        <v>1+0,00159781291316254i</v>
      </c>
      <c r="AK39" s="32">
        <f t="shared" si="77"/>
        <v>1.00000127650224</v>
      </c>
      <c r="AL39" s="32">
        <f t="shared" si="78"/>
        <v>0.00159781155342258</v>
      </c>
      <c r="AM39" s="32" t="str">
        <f t="shared" si="57"/>
        <v>1-0,000263694753263539i</v>
      </c>
      <c r="AN39" s="32">
        <f t="shared" si="79"/>
        <v>1.00000003476746</v>
      </c>
      <c r="AO39" s="32">
        <f t="shared" si="80"/>
        <v>-0.000263694747151541</v>
      </c>
      <c r="AP39" s="30" t="str">
        <f t="shared" si="81"/>
        <v>323,714524548241-27,2740432686098i</v>
      </c>
      <c r="AQ39" s="32">
        <f t="shared" si="82"/>
        <v>50.233963780175</v>
      </c>
      <c r="AR39" s="31">
        <f t="shared" si="83"/>
        <v>-4.8159890048912</v>
      </c>
      <c r="AS39" t="str">
        <f t="shared" si="58"/>
        <v>-0,000100699300699301</v>
      </c>
      <c r="AT39" t="str">
        <f t="shared" si="59"/>
        <v>0,0000228972296930883i</v>
      </c>
      <c r="AU39">
        <f t="shared" si="84"/>
        <v>2.28972296930883e-5</v>
      </c>
      <c r="AV39">
        <f t="shared" si="85"/>
        <v>1.5707963267949</v>
      </c>
      <c r="AW39" t="str">
        <f t="shared" si="60"/>
        <v>1+0,00117229616260603i</v>
      </c>
      <c r="AX39">
        <f t="shared" si="86"/>
        <v>1.00000068713891</v>
      </c>
      <c r="AY39">
        <f t="shared" si="87"/>
        <v>0.00117229562558608</v>
      </c>
      <c r="AZ39" t="str">
        <f t="shared" si="61"/>
        <v>1+0,056045733561186i</v>
      </c>
      <c r="BA39">
        <f t="shared" si="88"/>
        <v>1.00156933072574</v>
      </c>
      <c r="BB39">
        <f t="shared" si="89"/>
        <v>0.0559871617062321</v>
      </c>
      <c r="BC39" s="30" t="str">
        <f t="shared" si="90"/>
        <v>-0,241326538328332+4,39816431143922i</v>
      </c>
      <c r="BD39" s="32">
        <f t="shared" si="91"/>
        <v>12.8784846575148</v>
      </c>
      <c r="BE39" s="31">
        <f t="shared" si="92"/>
        <v>93.1406604809958</v>
      </c>
      <c r="BF39" s="30" t="str">
        <f t="shared" si="93"/>
        <v>20,6180495524196+261,163043949152i</v>
      </c>
      <c r="BG39" s="68">
        <f t="shared" si="94"/>
        <v>48.3652184239545</v>
      </c>
      <c r="BH39" s="31">
        <f t="shared" si="95"/>
        <v>85.4860301825736</v>
      </c>
      <c r="BI39" s="30" t="str">
        <f t="shared" si="96"/>
        <v>41,8348181168199+1430,33161941082i</v>
      </c>
      <c r="BJ39" s="68">
        <f t="shared" si="97"/>
        <v>63.1124484376898</v>
      </c>
      <c r="BK39" s="31">
        <f t="shared" si="98"/>
        <v>88.3246714761046</v>
      </c>
      <c r="BL39" s="32">
        <f t="shared" si="99"/>
        <v>48.3652184239545</v>
      </c>
      <c r="BM39" s="31">
        <f t="shared" si="100"/>
        <v>85.4860301825736</v>
      </c>
      <c r="BO39">
        <f t="shared" si="101"/>
        <v>0</v>
      </c>
      <c r="BP39">
        <f t="shared" si="102"/>
        <v>0</v>
      </c>
    </row>
    <row r="40" spans="1:68">
      <c r="B40" s="12"/>
      <c r="N40" s="7">
        <v>22</v>
      </c>
      <c r="O40" s="18">
        <f t="shared" si="62"/>
        <v>16.5958690743756</v>
      </c>
      <c r="P40" s="86" t="str">
        <f t="shared" si="50"/>
        <v>60</v>
      </c>
      <c r="Q40" s="4" t="str">
        <f t="shared" si="51"/>
        <v>1+0,136252563084577i</v>
      </c>
      <c r="R40" s="4">
        <f t="shared" si="63"/>
        <v>1.00923969449637</v>
      </c>
      <c r="S40" s="4">
        <f t="shared" si="64"/>
        <v>0.135418666792278</v>
      </c>
      <c r="T40" s="4" t="str">
        <f t="shared" si="52"/>
        <v>1+0,00163503075701493i</v>
      </c>
      <c r="U40" s="4">
        <f t="shared" si="65"/>
        <v>1.00000133666189</v>
      </c>
      <c r="V40" s="4">
        <f t="shared" si="66"/>
        <v>0.00163502930002742</v>
      </c>
      <c r="W40" t="str">
        <f t="shared" si="53"/>
        <v>1-0,00228101389092485i</v>
      </c>
      <c r="X40" s="4">
        <f t="shared" si="67"/>
        <v>1.0000026015088</v>
      </c>
      <c r="Y40" s="4">
        <f t="shared" si="68"/>
        <v>-0.00228100993488025</v>
      </c>
      <c r="Z40" t="str">
        <f t="shared" si="54"/>
        <v>0,99999999775165+0,000608625047514409i</v>
      </c>
      <c r="AA40" s="4">
        <f t="shared" si="69"/>
        <v>1.00000018296386</v>
      </c>
      <c r="AB40" s="4">
        <f t="shared" si="70"/>
        <v>0.000608624973732961</v>
      </c>
      <c r="AC40" s="67" t="str">
        <f t="shared" si="71"/>
        <v>58,8965216172931-8,10007862656794i</v>
      </c>
      <c r="AD40" s="68">
        <f t="shared" si="72"/>
        <v>35.4831711558194</v>
      </c>
      <c r="AE40" s="31">
        <f t="shared" si="73"/>
        <v>-7.83080168081133</v>
      </c>
      <c r="AF40" s="32" t="str">
        <f t="shared" si="74"/>
        <v>326,048966736478</v>
      </c>
      <c r="AG40" s="32" t="str">
        <f t="shared" si="55"/>
        <v>1+0,0875909334115142i</v>
      </c>
      <c r="AH40" s="32">
        <f t="shared" si="75"/>
        <v>1.00382875612123</v>
      </c>
      <c r="AI40" s="32">
        <f t="shared" si="76"/>
        <v>0.0873679547290792</v>
      </c>
      <c r="AJ40" s="32" t="str">
        <f t="shared" si="56"/>
        <v>1+0,00163503075701493i</v>
      </c>
      <c r="AK40" s="32">
        <f t="shared" si="77"/>
        <v>1.00000133666189</v>
      </c>
      <c r="AL40" s="32">
        <f t="shared" si="78"/>
        <v>0.00163502930002742</v>
      </c>
      <c r="AM40" s="32" t="str">
        <f t="shared" si="57"/>
        <v>1-0,000269836993115783i</v>
      </c>
      <c r="AN40" s="32">
        <f t="shared" si="79"/>
        <v>1.000000036406</v>
      </c>
      <c r="AO40" s="32">
        <f t="shared" si="80"/>
        <v>-0.000269836986566659</v>
      </c>
      <c r="AP40" s="30" t="str">
        <f t="shared" si="81"/>
        <v>323,605343334411-27,8997740635001i</v>
      </c>
      <c r="AQ40" s="32">
        <f t="shared" si="82"/>
        <v>50.2324758409454</v>
      </c>
      <c r="AR40" s="31">
        <f t="shared" si="83"/>
        <v>-4.92759531288126</v>
      </c>
      <c r="AS40" t="str">
        <f t="shared" si="58"/>
        <v>-0,000100699300699301</v>
      </c>
      <c r="AT40" t="str">
        <f t="shared" si="59"/>
        <v>0,00002343057468758i</v>
      </c>
      <c r="AU40">
        <f t="shared" si="84"/>
        <v>2.343057468758e-5</v>
      </c>
      <c r="AV40">
        <f t="shared" si="85"/>
        <v>1.5707963267949</v>
      </c>
      <c r="AW40" t="str">
        <f t="shared" si="60"/>
        <v>1+0,00119960244807237i</v>
      </c>
      <c r="AX40">
        <f t="shared" si="86"/>
        <v>1.00000071952276</v>
      </c>
      <c r="AY40">
        <f t="shared" si="87"/>
        <v>0.00119960187264515</v>
      </c>
      <c r="AZ40" t="str">
        <f t="shared" si="61"/>
        <v>1+0,0573512064003961i</v>
      </c>
      <c r="BA40">
        <f t="shared" si="88"/>
        <v>1.00164323033482</v>
      </c>
      <c r="BB40">
        <f t="shared" si="89"/>
        <v>0.0572884510865601</v>
      </c>
      <c r="BC40" s="30" t="str">
        <f t="shared" si="90"/>
        <v>-0,241326522698181+4,29806289846124i</v>
      </c>
      <c r="BD40" s="32">
        <f t="shared" si="91"/>
        <v>12.6791252306895</v>
      </c>
      <c r="BE40" s="31">
        <f t="shared" si="92"/>
        <v>93.213654337703</v>
      </c>
      <c r="BF40" s="30" t="str">
        <f t="shared" si="93"/>
        <v>20,601354658551+255,095718220239i</v>
      </c>
      <c r="BG40" s="68">
        <f t="shared" si="94"/>
        <v>48.1622963865089</v>
      </c>
      <c r="BH40" s="31">
        <f t="shared" si="95"/>
        <v>85.3828526568916</v>
      </c>
      <c r="BI40" s="30" t="str">
        <f t="shared" si="96"/>
        <v>41,8204315443366+1397,60907538825i</v>
      </c>
      <c r="BJ40" s="68">
        <f t="shared" si="97"/>
        <v>62.9116010716349</v>
      </c>
      <c r="BK40" s="31">
        <f t="shared" si="98"/>
        <v>88.2860590248217</v>
      </c>
      <c r="BL40" s="32">
        <f t="shared" si="99"/>
        <v>48.1622963865089</v>
      </c>
      <c r="BM40" s="31">
        <f t="shared" si="100"/>
        <v>85.3828526568916</v>
      </c>
      <c r="BO40">
        <f t="shared" si="101"/>
        <v>0</v>
      </c>
      <c r="BP40">
        <f t="shared" si="102"/>
        <v>0</v>
      </c>
    </row>
    <row r="41" spans="1:68">
      <c r="A41" t="s">
        <v>443</v>
      </c>
      <c r="B41" s="89">
        <f>1/(Cout*Resr)</f>
        <v>63775.5102040816</v>
      </c>
      <c r="C41" t="s">
        <v>324</v>
      </c>
      <c r="E41" t="s">
        <v>496</v>
      </c>
      <c r="N41" s="7">
        <v>23</v>
      </c>
      <c r="O41" s="18">
        <f t="shared" si="62"/>
        <v>16.9824365246174</v>
      </c>
      <c r="P41" s="86" t="str">
        <f t="shared" si="50"/>
        <v>60</v>
      </c>
      <c r="Q41" s="4" t="str">
        <f t="shared" si="51"/>
        <v>1+0,139426292984739i</v>
      </c>
      <c r="R41" s="4">
        <f t="shared" si="63"/>
        <v>1.00967306152807</v>
      </c>
      <c r="S41" s="4">
        <f t="shared" si="64"/>
        <v>0.13853321869664</v>
      </c>
      <c r="T41" s="4" t="str">
        <f t="shared" si="52"/>
        <v>1+0,00167311551581687i</v>
      </c>
      <c r="U41" s="4">
        <f t="shared" si="65"/>
        <v>1.00000139965679</v>
      </c>
      <c r="V41" s="4">
        <f t="shared" si="66"/>
        <v>0.00167311395462674</v>
      </c>
      <c r="W41" t="str">
        <f t="shared" si="53"/>
        <v>1-0,00233414552987844i</v>
      </c>
      <c r="X41" s="4">
        <f t="shared" si="67"/>
        <v>1.00000272411397</v>
      </c>
      <c r="Y41" s="4">
        <f t="shared" si="68"/>
        <v>-0.0023341412909009</v>
      </c>
      <c r="Z41" t="str">
        <f t="shared" si="54"/>
        <v>0,999999997645689+0,000622801746048034i</v>
      </c>
      <c r="AA41" s="4">
        <f t="shared" si="69"/>
        <v>1.00000019158668</v>
      </c>
      <c r="AB41" s="4">
        <f t="shared" si="70"/>
        <v>0.000622801666989789</v>
      </c>
      <c r="AC41" s="67" t="str">
        <f t="shared" si="71"/>
        <v>58,8455079720859-8,28164105728266i</v>
      </c>
      <c r="AD41" s="68">
        <f t="shared" si="72"/>
        <v>35.479443776794</v>
      </c>
      <c r="AE41" s="31">
        <f t="shared" si="73"/>
        <v>-8.01092673718378</v>
      </c>
      <c r="AF41" s="32" t="str">
        <f t="shared" si="74"/>
        <v>326,048966736478</v>
      </c>
      <c r="AG41" s="32" t="str">
        <f t="shared" si="55"/>
        <v>1+0,0896311883473323i</v>
      </c>
      <c r="AH41" s="32">
        <f t="shared" si="75"/>
        <v>1.00400883956495</v>
      </c>
      <c r="AI41" s="32">
        <f t="shared" si="76"/>
        <v>0.0893923138782441</v>
      </c>
      <c r="AJ41" s="32" t="str">
        <f t="shared" si="56"/>
        <v>1+0,00167311551581687i</v>
      </c>
      <c r="AK41" s="32">
        <f t="shared" si="77"/>
        <v>1.00000139965679</v>
      </c>
      <c r="AL41" s="32">
        <f t="shared" si="78"/>
        <v>0.00167311395462674</v>
      </c>
      <c r="AM41" s="32" t="str">
        <f t="shared" si="57"/>
        <v>1-0,00027612230411349i</v>
      </c>
      <c r="AN41" s="32">
        <f t="shared" si="79"/>
        <v>1.00000003812176</v>
      </c>
      <c r="AO41" s="32">
        <f t="shared" si="80"/>
        <v>-0.000276122297095978</v>
      </c>
      <c r="AP41" s="30" t="str">
        <f t="shared" si="81"/>
        <v>323,491096740057-28,5394032273794i</v>
      </c>
      <c r="AQ41" s="32">
        <f t="shared" si="82"/>
        <v>50.2309183238894</v>
      </c>
      <c r="AR41" s="31">
        <f t="shared" si="83"/>
        <v>-5.04176058014063</v>
      </c>
      <c r="AS41" t="str">
        <f t="shared" si="58"/>
        <v>-0,000100699300699301</v>
      </c>
      <c r="AT41" t="str">
        <f t="shared" si="59"/>
        <v>0,0000239763428829114i</v>
      </c>
      <c r="AU41">
        <f t="shared" si="84"/>
        <v>2.39763428829114e-5</v>
      </c>
      <c r="AV41">
        <f t="shared" si="85"/>
        <v>1.5707963267949</v>
      </c>
      <c r="AW41" t="str">
        <f t="shared" si="60"/>
        <v>1+0,00122754477863529i</v>
      </c>
      <c r="AX41">
        <f t="shared" si="86"/>
        <v>1.00000075343281</v>
      </c>
      <c r="AY41">
        <f t="shared" si="87"/>
        <v>0.00122754416205394</v>
      </c>
      <c r="AZ41" t="str">
        <f t="shared" si="61"/>
        <v>1+0,0586870876083722i</v>
      </c>
      <c r="BA41">
        <f t="shared" si="88"/>
        <v>1.00172060688196</v>
      </c>
      <c r="BB41">
        <f t="shared" si="89"/>
        <v>0.0586198503145956</v>
      </c>
      <c r="BC41" s="30" t="str">
        <f t="shared" si="90"/>
        <v>-0,241326506331404+4,20024037532185i</v>
      </c>
      <c r="BD41" s="32">
        <f t="shared" si="91"/>
        <v>12.4797958918073</v>
      </c>
      <c r="BE41" s="31">
        <f t="shared" si="92"/>
        <v>93.2883369190633</v>
      </c>
      <c r="BF41" s="30" t="str">
        <f t="shared" si="93"/>
        <v>20,5839022905215+249,163857993724i</v>
      </c>
      <c r="BG41" s="68">
        <f t="shared" si="94"/>
        <v>47.9592396686013</v>
      </c>
      <c r="BH41" s="31">
        <f t="shared" si="95"/>
        <v>85.2774101818796</v>
      </c>
      <c r="BI41" s="30" t="str">
        <f t="shared" si="96"/>
        <v>41,8053775176375+1365,62768005838i</v>
      </c>
      <c r="BJ41" s="68">
        <f t="shared" si="97"/>
        <v>62.7107142156967</v>
      </c>
      <c r="BK41" s="31">
        <f t="shared" si="98"/>
        <v>88.2465763389227</v>
      </c>
      <c r="BL41" s="32">
        <f t="shared" si="99"/>
        <v>47.9592396686013</v>
      </c>
      <c r="BM41" s="31">
        <f t="shared" si="100"/>
        <v>85.2774101818796</v>
      </c>
      <c r="BO41">
        <f t="shared" si="101"/>
        <v>0</v>
      </c>
      <c r="BP41">
        <f t="shared" si="102"/>
        <v>0</v>
      </c>
    </row>
    <row r="42" customFormat="1" spans="1:68">
      <c r="B42" s="89"/>
      <c r="N42" s="7">
        <v>24</v>
      </c>
      <c r="O42" s="18">
        <f t="shared" si="62"/>
        <v>17.3780082874938</v>
      </c>
      <c r="P42" s="86" t="str">
        <f t="shared" si="50"/>
        <v>60</v>
      </c>
      <c r="Q42" s="4" t="str">
        <f t="shared" si="51"/>
        <v>1+0,142673948550967i</v>
      </c>
      <c r="R42" s="4">
        <f t="shared" si="63"/>
        <v>1.01012665324459</v>
      </c>
      <c r="S42" s="4">
        <f t="shared" si="64"/>
        <v>0.141717519581469</v>
      </c>
      <c r="T42" s="4" t="str">
        <f t="shared" si="52"/>
        <v>1+0,00171208738261161i</v>
      </c>
      <c r="U42" s="4">
        <f t="shared" si="65"/>
        <v>1.00000146562053</v>
      </c>
      <c r="V42" s="4">
        <f t="shared" si="66"/>
        <v>0.00171208570976638</v>
      </c>
      <c r="W42" t="str">
        <f t="shared" si="53"/>
        <v>1-0,00238851476368807i</v>
      </c>
      <c r="X42" s="4">
        <f t="shared" si="67"/>
        <v>1.00000285249732</v>
      </c>
      <c r="Y42" s="4">
        <f t="shared" si="68"/>
        <v>-0.0023885102215425</v>
      </c>
      <c r="Z42" t="str">
        <f t="shared" si="54"/>
        <v>0,999999997534733+0,000637308662311173i</v>
      </c>
      <c r="AA42" s="4">
        <f t="shared" si="69"/>
        <v>1.00000020061588</v>
      </c>
      <c r="AB42" s="4">
        <f t="shared" si="70"/>
        <v>0.000637308577598739</v>
      </c>
      <c r="AC42" s="67" t="str">
        <f t="shared" si="71"/>
        <v>58,7921838954734-8,46693730754871i</v>
      </c>
      <c r="AD42" s="68">
        <f t="shared" si="72"/>
        <v>35.475544160366</v>
      </c>
      <c r="AE42" s="31">
        <f t="shared" si="73"/>
        <v>-8.19508711650867</v>
      </c>
      <c r="AF42" s="32" t="str">
        <f t="shared" si="74"/>
        <v>326,048966736478</v>
      </c>
      <c r="AG42" s="32" t="str">
        <f t="shared" si="55"/>
        <v>1+0,0917189669256219i</v>
      </c>
      <c r="AH42" s="32">
        <f t="shared" si="75"/>
        <v>1.00419737546655</v>
      </c>
      <c r="AI42" s="32">
        <f t="shared" si="76"/>
        <v>0.0914630660671375</v>
      </c>
      <c r="AJ42" s="32" t="str">
        <f t="shared" si="56"/>
        <v>1+0,00171208738261161i</v>
      </c>
      <c r="AK42" s="32">
        <f t="shared" si="77"/>
        <v>1.00000146562053</v>
      </c>
      <c r="AL42" s="32">
        <f t="shared" si="78"/>
        <v>0.00171208570976638</v>
      </c>
      <c r="AM42" s="32" t="str">
        <f t="shared" si="57"/>
        <v>1-0,000282554018811751i</v>
      </c>
      <c r="AN42" s="32">
        <f t="shared" si="79"/>
        <v>1.00000003991839</v>
      </c>
      <c r="AO42" s="32">
        <f t="shared" si="80"/>
        <v>-0.000282554011292351</v>
      </c>
      <c r="AP42" s="30" t="str">
        <f t="shared" si="81"/>
        <v>323,371553681332-29,1932069606028i</v>
      </c>
      <c r="AQ42" s="32">
        <f t="shared" si="82"/>
        <v>50.2292880022088</v>
      </c>
      <c r="AR42" s="31">
        <f t="shared" si="83"/>
        <v>-5.15854153397046</v>
      </c>
      <c r="AS42" t="str">
        <f t="shared" si="58"/>
        <v>-0,000100699300699301</v>
      </c>
      <c r="AT42" t="str">
        <f t="shared" si="59"/>
        <v>0,0000245348236526039i</v>
      </c>
      <c r="AU42">
        <f t="shared" si="84"/>
        <v>2.45348236526039e-5</v>
      </c>
      <c r="AV42">
        <f t="shared" si="85"/>
        <v>1.5707963267949</v>
      </c>
      <c r="AW42" t="str">
        <f t="shared" si="60"/>
        <v>1+0,00125613796968833i</v>
      </c>
      <c r="AX42">
        <f t="shared" si="86"/>
        <v>1.00000078894099</v>
      </c>
      <c r="AY42">
        <f t="shared" si="87"/>
        <v>0.00125613730900954</v>
      </c>
      <c r="AZ42" t="str">
        <f t="shared" si="61"/>
        <v>1+0,0600540854870142i</v>
      </c>
      <c r="BA42">
        <f t="shared" si="88"/>
        <v>1.00180162366792</v>
      </c>
      <c r="BB42">
        <f t="shared" si="89"/>
        <v>0.0599820464245933</v>
      </c>
      <c r="BC42" s="30" t="str">
        <f t="shared" si="90"/>
        <v>-0,241326489193287+4,10464487522428i</v>
      </c>
      <c r="BD42" s="32">
        <f t="shared" si="91"/>
        <v>12.2804980491263</v>
      </c>
      <c r="BE42" s="31">
        <f t="shared" si="92"/>
        <v>93.3647467403918</v>
      </c>
      <c r="BF42" s="30" t="str">
        <f t="shared" si="93"/>
        <v>20,5656594967744+243,364332584449i</v>
      </c>
      <c r="BG42" s="68">
        <f t="shared" si="94"/>
        <v>47.7560422094923</v>
      </c>
      <c r="BH42" s="31">
        <f t="shared" si="95"/>
        <v>85.1696596238831</v>
      </c>
      <c r="BI42" s="30" t="str">
        <f t="shared" si="96"/>
        <v>41,7896255873057+1334,37048475549i</v>
      </c>
      <c r="BJ42" s="68">
        <f t="shared" si="97"/>
        <v>62.5097860513351</v>
      </c>
      <c r="BK42" s="31">
        <f t="shared" si="98"/>
        <v>88.2062052064213</v>
      </c>
      <c r="BL42" s="32">
        <f t="shared" si="99"/>
        <v>47.7560422094923</v>
      </c>
      <c r="BM42" s="31">
        <f t="shared" si="100"/>
        <v>85.1696596238831</v>
      </c>
      <c r="BO42">
        <f t="shared" si="101"/>
        <v>0</v>
      </c>
      <c r="BP42">
        <f t="shared" si="102"/>
        <v>0</v>
      </c>
    </row>
    <row r="43" customFormat="1" spans="1:68">
      <c r="B43" s="12"/>
      <c r="N43" s="7">
        <v>25</v>
      </c>
      <c r="O43" s="18">
        <f t="shared" si="62"/>
        <v>17.7827941003892</v>
      </c>
      <c r="P43" s="86" t="str">
        <f t="shared" si="50"/>
        <v>60</v>
      </c>
      <c r="Q43" s="4" t="str">
        <f t="shared" si="51"/>
        <v>1+0,145997251733229i</v>
      </c>
      <c r="R43" s="4">
        <f t="shared" si="63"/>
        <v>1.01060140387477</v>
      </c>
      <c r="S43" s="4">
        <f t="shared" si="64"/>
        <v>0.144972999365273</v>
      </c>
      <c r="T43" s="4" t="str">
        <f t="shared" si="52"/>
        <v>1+0,00175196702079875i</v>
      </c>
      <c r="U43" s="4">
        <f t="shared" si="65"/>
        <v>1.00000153469304</v>
      </c>
      <c r="V43" s="4">
        <f t="shared" si="66"/>
        <v>0.00175196522831294</v>
      </c>
      <c r="W43" t="str">
        <f t="shared" si="53"/>
        <v>1-0,00244415041964111i</v>
      </c>
      <c r="X43" s="4">
        <f t="shared" si="67"/>
        <v>1.00000298693118</v>
      </c>
      <c r="Y43" s="4">
        <f t="shared" si="68"/>
        <v>-0.00244414555264523</v>
      </c>
      <c r="Z43" t="str">
        <f t="shared" si="54"/>
        <v>0,999999997418549+0,000652153488062842i</v>
      </c>
      <c r="AA43" s="4">
        <f t="shared" si="69"/>
        <v>1.00000021007061</v>
      </c>
      <c r="AB43" s="4">
        <f t="shared" si="70"/>
        <v>0.000652153397291834</v>
      </c>
      <c r="AC43" s="67" t="str">
        <f t="shared" si="71"/>
        <v>58,736449269827-8,65602051673537i</v>
      </c>
      <c r="AD43" s="68">
        <f t="shared" si="72"/>
        <v>35.4714645132653</v>
      </c>
      <c r="AE43" s="31">
        <f t="shared" si="73"/>
        <v>-8.38336565548906</v>
      </c>
      <c r="AF43" s="32" t="str">
        <f t="shared" si="74"/>
        <v>326,048966736478</v>
      </c>
      <c r="AG43" s="32" t="str">
        <f t="shared" si="55"/>
        <v>1+0,0938553761142186i</v>
      </c>
      <c r="AH43" s="32">
        <f t="shared" si="75"/>
        <v>1.00439475886005</v>
      </c>
      <c r="AI43" s="32">
        <f t="shared" si="76"/>
        <v>0.093581238161367</v>
      </c>
      <c r="AJ43" s="32" t="str">
        <f t="shared" si="56"/>
        <v>1+0,00175196702079875i</v>
      </c>
      <c r="AK43" s="32">
        <f t="shared" si="77"/>
        <v>1.00000153469304</v>
      </c>
      <c r="AL43" s="32">
        <f t="shared" si="78"/>
        <v>0.00175196522831294</v>
      </c>
      <c r="AM43" s="32" t="str">
        <f t="shared" si="57"/>
        <v>1-0,000289135547390827i</v>
      </c>
      <c r="AN43" s="32">
        <f t="shared" si="79"/>
        <v>1.00000004179968</v>
      </c>
      <c r="AO43" s="32">
        <f t="shared" si="80"/>
        <v>-0.000289135539333645</v>
      </c>
      <c r="AP43" s="30" t="str">
        <f t="shared" si="81"/>
        <v>323,24647290699-29,8614646018659i</v>
      </c>
      <c r="AQ43" s="32">
        <f t="shared" si="82"/>
        <v>50.2275815020141</v>
      </c>
      <c r="AR43" s="31">
        <f t="shared" si="83"/>
        <v>-5.27799602092998</v>
      </c>
      <c r="AS43" t="str">
        <f t="shared" si="58"/>
        <v>-0,000100699300699301</v>
      </c>
      <c r="AT43" t="str">
        <f t="shared" si="59"/>
        <v>0,0000251063131105535i</v>
      </c>
      <c r="AU43">
        <f t="shared" si="84"/>
        <v>2.51063131105535e-5</v>
      </c>
      <c r="AV43">
        <f t="shared" si="85"/>
        <v>1.5707963267949</v>
      </c>
      <c r="AW43" t="str">
        <f t="shared" si="60"/>
        <v>1+0,00128539718171983i</v>
      </c>
      <c r="AX43">
        <f t="shared" si="86"/>
        <v>1.00000082612262</v>
      </c>
      <c r="AY43">
        <f t="shared" si="87"/>
        <v>0.00128539647378978</v>
      </c>
      <c r="AZ43" t="str">
        <f t="shared" si="61"/>
        <v>1+0,0614529248366907i</v>
      </c>
      <c r="BA43">
        <f t="shared" si="88"/>
        <v>1.00188645163561</v>
      </c>
      <c r="BB43">
        <f t="shared" si="89"/>
        <v>0.0613757414382394</v>
      </c>
      <c r="BC43" s="30" t="str">
        <f t="shared" si="90"/>
        <v>-0,24132647124748+4,01122571216898i</v>
      </c>
      <c r="BD43" s="32">
        <f t="shared" si="91"/>
        <v>12.0812331763393</v>
      </c>
      <c r="BE43" s="31">
        <f t="shared" si="92"/>
        <v>93.4429231559482</v>
      </c>
      <c r="BF43" s="30" t="str">
        <f t="shared" si="93"/>
        <v>20,5465920258972+237,694082438989i</v>
      </c>
      <c r="BG43" s="68">
        <f t="shared" si="94"/>
        <v>47.5526976896046</v>
      </c>
      <c r="BH43" s="31">
        <f t="shared" si="95"/>
        <v>85.0595575004591</v>
      </c>
      <c r="BI43" s="30" t="str">
        <f t="shared" si="96"/>
        <v>41,7731439641903+1303,8209253711i</v>
      </c>
      <c r="BJ43" s="68">
        <f t="shared" si="97"/>
        <v>62.3088146783534</v>
      </c>
      <c r="BK43" s="31">
        <f t="shared" si="98"/>
        <v>88.1649271350182</v>
      </c>
      <c r="BL43" s="32">
        <f t="shared" si="99"/>
        <v>47.5526976896046</v>
      </c>
      <c r="BM43" s="31">
        <f t="shared" si="100"/>
        <v>85.0595575004591</v>
      </c>
      <c r="BO43">
        <f t="shared" si="101"/>
        <v>0</v>
      </c>
      <c r="BP43">
        <f t="shared" si="102"/>
        <v>0</v>
      </c>
    </row>
    <row r="44" customFormat="1" spans="1:68">
      <c r="A44" t="s">
        <v>497</v>
      </c>
      <c r="B44" s="12">
        <f>(Isl*(Rsl_int+R_sl)*Fsw)</f>
        <v>60200</v>
      </c>
      <c r="C44" t="s">
        <v>244</v>
      </c>
      <c r="E44" t="s">
        <v>320</v>
      </c>
      <c r="N44" s="7">
        <v>26</v>
      </c>
      <c r="O44" s="18">
        <f t="shared" si="62"/>
        <v>18.1970085860998</v>
      </c>
      <c r="P44" s="86" t="str">
        <f t="shared" si="50"/>
        <v>60</v>
      </c>
      <c r="Q44" s="4" t="str">
        <f t="shared" si="51"/>
        <v>1+0,149397964590863i</v>
      </c>
      <c r="R44" s="4">
        <f t="shared" si="63"/>
        <v>1.01109828989268</v>
      </c>
      <c r="S44" s="4">
        <f t="shared" si="64"/>
        <v>0.148301107986122</v>
      </c>
      <c r="T44" s="4" t="str">
        <f t="shared" si="52"/>
        <v>1+0,00179277557509035i</v>
      </c>
      <c r="U44" s="4">
        <f t="shared" si="65"/>
        <v>1.00000160702084</v>
      </c>
      <c r="V44" s="4">
        <f t="shared" si="66"/>
        <v>0.00179277365440737</v>
      </c>
      <c r="W44" t="str">
        <f t="shared" si="53"/>
        <v>1-0,00250108199649882i</v>
      </c>
      <c r="X44" s="4">
        <f t="shared" si="67"/>
        <v>1.00000312770069</v>
      </c>
      <c r="Y44" s="4">
        <f t="shared" si="68"/>
        <v>-0.00250107678141965</v>
      </c>
      <c r="Z44" t="str">
        <f t="shared" si="54"/>
        <v>0,999999997296889+0,000667344094226158i</v>
      </c>
      <c r="AA44" s="4">
        <f t="shared" si="69"/>
        <v>1.00000021997094</v>
      </c>
      <c r="AB44" s="4">
        <f t="shared" si="70"/>
        <v>0.000667343996963272</v>
      </c>
      <c r="AC44" s="67" t="str">
        <f t="shared" si="71"/>
        <v>58,6782000653467-8,84894282966641i</v>
      </c>
      <c r="AD44" s="68">
        <f t="shared" si="72"/>
        <v>35.4671967052193</v>
      </c>
      <c r="AE44" s="31">
        <f t="shared" si="73"/>
        <v>-8.5758463590218</v>
      </c>
      <c r="AF44" s="32" t="str">
        <f t="shared" si="74"/>
        <v>326,048966736478</v>
      </c>
      <c r="AG44" s="32" t="str">
        <f t="shared" si="55"/>
        <v>1+0,0960415486655546i</v>
      </c>
      <c r="AH44" s="32">
        <f t="shared" si="75"/>
        <v>1.00460140307989</v>
      </c>
      <c r="AI44" s="32">
        <f t="shared" si="76"/>
        <v>0.0957478771738189</v>
      </c>
      <c r="AJ44" s="32" t="str">
        <f t="shared" si="56"/>
        <v>1+0,00179277557509035i</v>
      </c>
      <c r="AK44" s="32">
        <f t="shared" si="77"/>
        <v>1.00000160702084</v>
      </c>
      <c r="AL44" s="32">
        <f t="shared" si="78"/>
        <v>0.00179277365440737</v>
      </c>
      <c r="AM44" s="32" t="str">
        <f t="shared" si="57"/>
        <v>1-0,000295870379464294i</v>
      </c>
      <c r="AN44" s="32">
        <f t="shared" si="79"/>
        <v>1.00000004376964</v>
      </c>
      <c r="AO44" s="32">
        <f t="shared" si="80"/>
        <v>-0.000295870370830868</v>
      </c>
      <c r="AP44" s="30" t="str">
        <f t="shared" si="81"/>
        <v>323,115602586978-30,5444584781209i</v>
      </c>
      <c r="AQ44" s="32">
        <f t="shared" si="82"/>
        <v>50.2257952958637</v>
      </c>
      <c r="AR44" s="31">
        <f t="shared" si="83"/>
        <v>-5.40018301890861</v>
      </c>
      <c r="AS44" t="str">
        <f t="shared" si="58"/>
        <v>-0,000100699300699301</v>
      </c>
      <c r="AT44" t="str">
        <f t="shared" si="59"/>
        <v>0,0000256911142680358i</v>
      </c>
      <c r="AU44">
        <f t="shared" si="84"/>
        <v>2.56911142680358e-5</v>
      </c>
      <c r="AV44">
        <f t="shared" si="85"/>
        <v>1.5707963267949</v>
      </c>
      <c r="AW44" t="str">
        <f t="shared" si="60"/>
        <v>1+0,00131533792835134i</v>
      </c>
      <c r="AX44">
        <f t="shared" si="86"/>
        <v>1.00000086505656</v>
      </c>
      <c r="AY44">
        <f t="shared" si="87"/>
        <v>0.00131533716979066</v>
      </c>
      <c r="AZ44" t="str">
        <f t="shared" si="61"/>
        <v>1+0,0628843473405416i</v>
      </c>
      <c r="BA44">
        <f t="shared" si="88"/>
        <v>1.00197526972498</v>
      </c>
      <c r="BB44">
        <f t="shared" si="89"/>
        <v>0.0628016526421002</v>
      </c>
      <c r="BC44" s="30" t="str">
        <f t="shared" si="90"/>
        <v>-0,241326452455915+3,91993335407891i</v>
      </c>
      <c r="BD44" s="32">
        <f t="shared" si="91"/>
        <v>11.8820028155672</v>
      </c>
      <c r="BE44" s="31">
        <f t="shared" si="92"/>
        <v>93.5229063743733</v>
      </c>
      <c r="BF44" s="30" t="str">
        <f t="shared" si="93"/>
        <v>20,5266642880782+232,150117574536i</v>
      </c>
      <c r="BG44" s="68">
        <f t="shared" si="94"/>
        <v>47.3491995207865</v>
      </c>
      <c r="BH44" s="31">
        <f t="shared" si="95"/>
        <v>84.9470600153515</v>
      </c>
      <c r="BI44" s="30" t="str">
        <f t="shared" si="96"/>
        <v>41,7558994651938+1273,96281361071i</v>
      </c>
      <c r="BJ44" s="68">
        <f t="shared" si="97"/>
        <v>62.1077981114309</v>
      </c>
      <c r="BK44" s="31">
        <f t="shared" si="98"/>
        <v>88.1227233554646</v>
      </c>
      <c r="BL44" s="32">
        <f t="shared" si="99"/>
        <v>47.3491995207865</v>
      </c>
      <c r="BM44" s="31">
        <f t="shared" si="100"/>
        <v>84.9470600153515</v>
      </c>
      <c r="BO44">
        <f t="shared" si="101"/>
        <v>0</v>
      </c>
      <c r="BP44">
        <f t="shared" si="102"/>
        <v>0</v>
      </c>
    </row>
    <row r="45" spans="1:68">
      <c r="A45" t="s">
        <v>498</v>
      </c>
      <c r="B45" s="12">
        <f>(R_cs*VIN_var*Acs)/Lm</f>
        <v>4000</v>
      </c>
      <c r="C45" t="s">
        <v>244</v>
      </c>
      <c r="E45" t="s">
        <v>322</v>
      </c>
      <c r="N45" s="7">
        <v>27</v>
      </c>
      <c r="O45" s="18">
        <f t="shared" si="62"/>
        <v>18.6208713666287</v>
      </c>
      <c r="P45" s="86" t="str">
        <f t="shared" si="50"/>
        <v>60</v>
      </c>
      <c r="Q45" s="4" t="str">
        <f t="shared" si="51"/>
        <v>1+0,152877890226838i</v>
      </c>
      <c r="R45" s="4">
        <f t="shared" si="63"/>
        <v>1.0116183318427</v>
      </c>
      <c r="S45" s="4">
        <f t="shared" si="64"/>
        <v>0.15170331499296</v>
      </c>
      <c r="T45" s="4" t="str">
        <f t="shared" si="52"/>
        <v>1+0,00183453468272205i</v>
      </c>
      <c r="U45" s="4">
        <f t="shared" si="65"/>
        <v>1.00000168275734</v>
      </c>
      <c r="V45" s="4">
        <f t="shared" si="66"/>
        <v>0.00183453262467334</v>
      </c>
      <c r="W45" t="str">
        <f t="shared" si="53"/>
        <v>1-0,00255933968013679i</v>
      </c>
      <c r="X45" s="4">
        <f t="shared" si="67"/>
        <v>1.00000327510444</v>
      </c>
      <c r="Y45" s="4">
        <f t="shared" si="68"/>
        <v>-0.00255933409207977</v>
      </c>
      <c r="Z45" t="str">
        <f t="shared" si="54"/>
        <v>0,999999997169495+0,000682888535061574i</v>
      </c>
      <c r="AA45" s="4">
        <f t="shared" si="69"/>
        <v>1.00000023033784</v>
      </c>
      <c r="AB45" s="4">
        <f t="shared" si="70"/>
        <v>0.000682888430842515</v>
      </c>
      <c r="AC45" s="67" t="str">
        <f t="shared" si="71"/>
        <v>58,6173282277937-9,04575523549297i</v>
      </c>
      <c r="AD45" s="68">
        <f t="shared" si="72"/>
        <v>35.4627322558505</v>
      </c>
      <c r="AE45" s="31">
        <f t="shared" si="73"/>
        <v>-8.77261437727321</v>
      </c>
      <c r="AF45" s="32" t="str">
        <f t="shared" si="74"/>
        <v>326,048966736478</v>
      </c>
      <c r="AG45" s="32" t="str">
        <f t="shared" si="55"/>
        <v>1+0,0982786437172529i</v>
      </c>
      <c r="AH45" s="32">
        <f t="shared" si="75"/>
        <v>1.00481774059324</v>
      </c>
      <c r="AI45" s="32">
        <f t="shared" si="76"/>
        <v>0.0979640504730866</v>
      </c>
      <c r="AJ45" s="32" t="str">
        <f t="shared" si="56"/>
        <v>1+0,00183453468272205i</v>
      </c>
      <c r="AK45" s="32">
        <f t="shared" si="77"/>
        <v>1.00000168275734</v>
      </c>
      <c r="AL45" s="32">
        <f t="shared" si="78"/>
        <v>0.00183453262467334</v>
      </c>
      <c r="AM45" s="32" t="str">
        <f t="shared" si="57"/>
        <v>1-0,00030276208592926i</v>
      </c>
      <c r="AN45" s="32">
        <f t="shared" si="79"/>
        <v>1.00000004583244</v>
      </c>
      <c r="AO45" s="32">
        <f t="shared" si="80"/>
        <v>-0.000302762076678377</v>
      </c>
      <c r="AP45" s="30" t="str">
        <f t="shared" si="81"/>
        <v>322,97867988786-31,2424737365081i</v>
      </c>
      <c r="AQ45" s="32">
        <f t="shared" si="82"/>
        <v>50.2239256960431</v>
      </c>
      <c r="AR45" s="31">
        <f t="shared" si="83"/>
        <v>-5.52516264853188</v>
      </c>
      <c r="AS45" t="str">
        <f t="shared" si="58"/>
        <v>-0,000100699300699301</v>
      </c>
      <c r="AT45" t="str">
        <f t="shared" si="59"/>
        <v>0,0000262895371943653i</v>
      </c>
      <c r="AU45">
        <f t="shared" si="84"/>
        <v>2.62895371943653e-5</v>
      </c>
      <c r="AV45">
        <f t="shared" si="85"/>
        <v>1.5707963267949</v>
      </c>
      <c r="AW45" t="str">
        <f t="shared" si="60"/>
        <v>1+0,00134597608456301i</v>
      </c>
      <c r="AX45">
        <f t="shared" si="86"/>
        <v>1.0000009058254</v>
      </c>
      <c r="AY45">
        <f t="shared" si="87"/>
        <v>0.00134597527175064</v>
      </c>
      <c r="AZ45" t="str">
        <f t="shared" si="61"/>
        <v>1+0,064349111957725i</v>
      </c>
      <c r="BA45">
        <f t="shared" si="88"/>
        <v>1.00206826524431</v>
      </c>
      <c r="BB45">
        <f t="shared" si="89"/>
        <v>0.0642605128665199</v>
      </c>
      <c r="BC45" s="30" t="str">
        <f t="shared" si="90"/>
        <v>-0,241326432778732+3,83071939653727i</v>
      </c>
      <c r="BD45" s="32">
        <f t="shared" si="91"/>
        <v>11.6828085804869</v>
      </c>
      <c r="BE45" s="31">
        <f t="shared" si="92"/>
        <v>93.6047374741974</v>
      </c>
      <c r="BF45" s="30" t="str">
        <f t="shared" si="93"/>
        <v>20,505839316698+226,729516058172i</v>
      </c>
      <c r="BG45" s="68">
        <f t="shared" si="94"/>
        <v>47.1455408363374</v>
      </c>
      <c r="BH45" s="31">
        <f t="shared" si="95"/>
        <v>84.8321230969242</v>
      </c>
      <c r="BI45" s="30" t="str">
        <f t="shared" si="96"/>
        <v>41,7378574573266+1244,78032845244i</v>
      </c>
      <c r="BJ45" s="68">
        <f t="shared" si="97"/>
        <v>61.90673427653</v>
      </c>
      <c r="BK45" s="31">
        <f t="shared" si="98"/>
        <v>88.0795748256655</v>
      </c>
      <c r="BL45" s="32">
        <f t="shared" si="99"/>
        <v>47.1455408363374</v>
      </c>
      <c r="BM45" s="31">
        <f t="shared" si="100"/>
        <v>84.8321230969242</v>
      </c>
      <c r="BO45">
        <f t="shared" si="101"/>
        <v>0</v>
      </c>
      <c r="BP45">
        <f t="shared" si="102"/>
        <v>0</v>
      </c>
    </row>
    <row r="46" spans="1:68">
      <c r="B46" s="12"/>
      <c r="N46" s="7">
        <v>28</v>
      </c>
      <c r="O46" s="18">
        <f t="shared" si="62"/>
        <v>19.0546071796325</v>
      </c>
      <c r="P46" s="86" t="str">
        <f t="shared" si="50"/>
        <v>60</v>
      </c>
      <c r="Q46" s="4" t="str">
        <f t="shared" si="51"/>
        <v>1+0,156438873743791i</v>
      </c>
      <c r="R46" s="4">
        <f t="shared" si="63"/>
        <v>1.01216259623552</v>
      </c>
      <c r="S46" s="4">
        <f t="shared" si="64"/>
        <v>0.155181109073524</v>
      </c>
      <c r="T46" s="4" t="str">
        <f t="shared" si="52"/>
        <v>1+0,00187726648492549i</v>
      </c>
      <c r="U46" s="4">
        <f t="shared" si="65"/>
        <v>1.00000176206318</v>
      </c>
      <c r="V46" s="4">
        <f t="shared" si="66"/>
        <v>0.00187726427968678</v>
      </c>
      <c r="W46" t="str">
        <f t="shared" si="53"/>
        <v>1-0,00261895435955007i</v>
      </c>
      <c r="X46" s="4">
        <f t="shared" si="67"/>
        <v>1.00000342945509</v>
      </c>
      <c r="Y46" s="4">
        <f t="shared" si="68"/>
        <v>-0.00261894837184021</v>
      </c>
      <c r="Z46" t="str">
        <f t="shared" si="54"/>
        <v>0,999999997036098+0,000698795052437384i</v>
      </c>
      <c r="AA46" s="4">
        <f t="shared" si="69"/>
        <v>1.00000024119333</v>
      </c>
      <c r="AB46" s="4">
        <f t="shared" si="70"/>
        <v>0.000698794940764652</v>
      </c>
      <c r="AC46" s="67" t="str">
        <f t="shared" si="71"/>
        <v>58,5537215670942-9,24650739539981i</v>
      </c>
      <c r="AD46" s="68">
        <f t="shared" si="72"/>
        <v>35.4580623212065</v>
      </c>
      <c r="AE46" s="31">
        <f t="shared" si="73"/>
        <v>-8.9737559791355</v>
      </c>
      <c r="AF46" s="32" t="str">
        <f t="shared" si="74"/>
        <v>326,048966736478</v>
      </c>
      <c r="AG46" s="32" t="str">
        <f t="shared" si="55"/>
        <v>1+0,100567847406723i</v>
      </c>
      <c r="AH46" s="32">
        <f t="shared" si="75"/>
        <v>1.00504422386879</v>
      </c>
      <c r="AI46" s="32">
        <f t="shared" si="76"/>
        <v>0.100230845979169</v>
      </c>
      <c r="AJ46" s="32" t="str">
        <f t="shared" si="56"/>
        <v>1+0,00187726648492549i</v>
      </c>
      <c r="AK46" s="32">
        <f t="shared" si="77"/>
        <v>1.00000176206318</v>
      </c>
      <c r="AL46" s="32">
        <f t="shared" si="78"/>
        <v>0.00187726427968678</v>
      </c>
      <c r="AM46" s="32" t="str">
        <f t="shared" si="57"/>
        <v>1-0,000309814320859717i</v>
      </c>
      <c r="AN46" s="32">
        <f t="shared" si="79"/>
        <v>1.00000004799246</v>
      </c>
      <c r="AO46" s="32">
        <f t="shared" si="80"/>
        <v>-0.000309814310947217</v>
      </c>
      <c r="AP46" s="30" t="str">
        <f t="shared" si="81"/>
        <v>322,835430535059-31,955798157031i</v>
      </c>
      <c r="AQ46" s="32">
        <f t="shared" si="82"/>
        <v>50.2219688475749</v>
      </c>
      <c r="AR46" s="31">
        <f t="shared" si="83"/>
        <v>-5.65299618382546</v>
      </c>
      <c r="AS46" t="str">
        <f t="shared" si="58"/>
        <v>-0,000100699300699301</v>
      </c>
      <c r="AT46" t="str">
        <f t="shared" si="59"/>
        <v>0,0000269018991812982i</v>
      </c>
      <c r="AU46">
        <f t="shared" si="84"/>
        <v>2.69018991812982e-5</v>
      </c>
      <c r="AV46">
        <f t="shared" si="85"/>
        <v>1.5707963267949</v>
      </c>
      <c r="AW46" t="str">
        <f t="shared" si="60"/>
        <v>1+0,00137732789511083i</v>
      </c>
      <c r="AX46">
        <f t="shared" si="86"/>
        <v>1.00000094851562</v>
      </c>
      <c r="AY46">
        <f t="shared" si="87"/>
        <v>0.00137732702416673</v>
      </c>
      <c r="AZ46" t="str">
        <f t="shared" si="61"/>
        <v>1+0,0658479953258302i</v>
      </c>
      <c r="BA46">
        <f t="shared" si="88"/>
        <v>1.00216563425834</v>
      </c>
      <c r="BB46">
        <f t="shared" si="89"/>
        <v>0.0657530707656709</v>
      </c>
      <c r="BC46" s="30" t="str">
        <f t="shared" si="90"/>
        <v>-0,2413264121742+3,74353653712278i</v>
      </c>
      <c r="BD46" s="32">
        <f t="shared" si="91"/>
        <v>11.4836521595959</v>
      </c>
      <c r="BE46" s="31">
        <f t="shared" si="92"/>
        <v>93.6884584194039</v>
      </c>
      <c r="BF46" s="30" t="str">
        <f t="shared" si="93"/>
        <v>20,4840787302213+221,429422525805i</v>
      </c>
      <c r="BG46" s="68">
        <f t="shared" si="94"/>
        <v>46.9417144808024</v>
      </c>
      <c r="BH46" s="31">
        <f t="shared" si="95"/>
        <v>84.7147024402684</v>
      </c>
      <c r="BI46" s="30" t="str">
        <f t="shared" si="96"/>
        <v>41,7189818000274+1216,25800780316i</v>
      </c>
      <c r="BJ46" s="68">
        <f t="shared" si="97"/>
        <v>61.7056210071709</v>
      </c>
      <c r="BK46" s="31">
        <f t="shared" si="98"/>
        <v>88.0354622355785</v>
      </c>
      <c r="BL46" s="32">
        <f t="shared" si="99"/>
        <v>46.9417144808024</v>
      </c>
      <c r="BM46" s="31">
        <f t="shared" si="100"/>
        <v>84.7147024402684</v>
      </c>
      <c r="BO46">
        <f t="shared" si="101"/>
        <v>0</v>
      </c>
      <c r="BP46">
        <f t="shared" si="102"/>
        <v>0</v>
      </c>
    </row>
    <row r="47" spans="1:68">
      <c r="A47" t="s">
        <v>499</v>
      </c>
      <c r="B47" s="12">
        <f>2*PI()*Fsw</f>
        <v>4398229.71502571</v>
      </c>
      <c r="C47" t="s">
        <v>324</v>
      </c>
      <c r="N47" s="7">
        <v>29</v>
      </c>
      <c r="O47" s="18">
        <f t="shared" si="62"/>
        <v>19.4984459975805</v>
      </c>
      <c r="P47" s="86" t="str">
        <f t="shared" si="50"/>
        <v>60</v>
      </c>
      <c r="Q47" s="4" t="str">
        <f t="shared" si="51"/>
        <v>1+0,160082803222314i</v>
      </c>
      <c r="R47" s="4">
        <f t="shared" si="63"/>
        <v>1.01273219751695</v>
      </c>
      <c r="S47" s="4">
        <f t="shared" si="64"/>
        <v>0.158735997514513</v>
      </c>
      <c r="T47" s="4" t="str">
        <f t="shared" si="52"/>
        <v>1+0,00192099363866777i</v>
      </c>
      <c r="U47" s="4">
        <f t="shared" si="65"/>
        <v>1.00000184510658</v>
      </c>
      <c r="V47" s="4">
        <f t="shared" si="66"/>
        <v>0.00192099127571216</v>
      </c>
      <c r="W47" t="str">
        <f t="shared" si="53"/>
        <v>1-0,0026799576432307i</v>
      </c>
      <c r="X47" s="4">
        <f t="shared" si="67"/>
        <v>1.00000359108004</v>
      </c>
      <c r="Y47" s="4">
        <f t="shared" si="68"/>
        <v>-0.00267995122728523</v>
      </c>
      <c r="Z47" t="str">
        <f t="shared" si="54"/>
        <v>0,999999996896413+0,000715072080199633i</v>
      </c>
      <c r="AA47" s="4">
        <f t="shared" si="69"/>
        <v>1.00000025256042</v>
      </c>
      <c r="AB47" s="4">
        <f t="shared" si="70"/>
        <v>0.000715071960540147</v>
      </c>
      <c r="AC47" s="67" t="str">
        <f t="shared" si="71"/>
        <v>58,4872636473388-9,45124745861816i</v>
      </c>
      <c r="AD47" s="68">
        <f t="shared" si="72"/>
        <v>35.4531776799229</v>
      </c>
      <c r="AE47" s="31">
        <f t="shared" si="73"/>
        <v>-9.1793585218124</v>
      </c>
      <c r="AF47" s="32" t="str">
        <f t="shared" si="74"/>
        <v>326,048966736478</v>
      </c>
      <c r="AG47" s="32" t="str">
        <f t="shared" si="55"/>
        <v>1+0,102910373500059i</v>
      </c>
      <c r="AH47" s="32">
        <f t="shared" si="75"/>
        <v>1.00528132628331</v>
      </c>
      <c r="AI47" s="32">
        <f t="shared" si="76"/>
        <v>0.102549372344982</v>
      </c>
      <c r="AJ47" s="32" t="str">
        <f t="shared" si="56"/>
        <v>1+0,00192099363866777i</v>
      </c>
      <c r="AK47" s="32">
        <f t="shared" si="77"/>
        <v>1.00000184510658</v>
      </c>
      <c r="AL47" s="32">
        <f t="shared" si="78"/>
        <v>0.00192099127571216</v>
      </c>
      <c r="AM47" s="32" t="str">
        <f t="shared" si="57"/>
        <v>1-0,000317030823443968i</v>
      </c>
      <c r="AN47" s="32">
        <f t="shared" si="79"/>
        <v>1.00000005025427</v>
      </c>
      <c r="AO47" s="32">
        <f t="shared" si="80"/>
        <v>-0.000317030812822533</v>
      </c>
      <c r="AP47" s="30" t="str">
        <f t="shared" si="81"/>
        <v>322,685568361862-32,6847219446105i</v>
      </c>
      <c r="AQ47" s="32">
        <f t="shared" si="82"/>
        <v>50.2199207209528</v>
      </c>
      <c r="AR47" s="31">
        <f t="shared" si="83"/>
        <v>-5.78374606205365</v>
      </c>
      <c r="AS47" t="str">
        <f t="shared" si="58"/>
        <v>-0,000100699300699301</v>
      </c>
      <c r="AT47" t="str">
        <f t="shared" si="59"/>
        <v>0,0000275285249112658i</v>
      </c>
      <c r="AU47">
        <f t="shared" si="84"/>
        <v>2.75285249112658e-5</v>
      </c>
      <c r="AV47">
        <f t="shared" si="85"/>
        <v>1.5707963267949</v>
      </c>
      <c r="AW47" t="str">
        <f t="shared" si="60"/>
        <v>1+0,0014094099831397i</v>
      </c>
      <c r="AX47">
        <f t="shared" si="86"/>
        <v>1.00000099321776</v>
      </c>
      <c r="AY47">
        <f t="shared" si="87"/>
        <v>0.00140940904990633</v>
      </c>
      <c r="AZ47" t="str">
        <f t="shared" si="61"/>
        <v>1+0,0673817921726575i</v>
      </c>
      <c r="BA47">
        <f t="shared" si="88"/>
        <v>1.00226758199415</v>
      </c>
      <c r="BB47">
        <f t="shared" si="89"/>
        <v>0.0672800910984036</v>
      </c>
      <c r="BC47" s="30" t="str">
        <f t="shared" si="90"/>
        <v>-0,241326390598605+3,65833855032914i</v>
      </c>
      <c r="BD47" s="32">
        <f t="shared" si="91"/>
        <v>11.2845353196209</v>
      </c>
      <c r="BE47" s="31">
        <f t="shared" si="92"/>
        <v>93.7741120750271</v>
      </c>
      <c r="BF47" s="30" t="str">
        <f t="shared" si="93"/>
        <v>20,4613426945619+216,247046740166i</v>
      </c>
      <c r="BG47" s="68">
        <f t="shared" si="94"/>
        <v>46.7377129995438</v>
      </c>
      <c r="BH47" s="31">
        <f t="shared" si="95"/>
        <v>84.5947535532146</v>
      </c>
      <c r="BI47" s="30" t="str">
        <f t="shared" si="96"/>
        <v>41,6992347857298+1188,38074034768i</v>
      </c>
      <c r="BJ47" s="68">
        <f t="shared" si="97"/>
        <v>61.5044560405737</v>
      </c>
      <c r="BK47" s="31">
        <f t="shared" si="98"/>
        <v>87.9903660129734</v>
      </c>
      <c r="BL47" s="32">
        <f t="shared" si="99"/>
        <v>46.7377129995438</v>
      </c>
      <c r="BM47" s="31">
        <f t="shared" si="100"/>
        <v>84.5947535532146</v>
      </c>
      <c r="BO47">
        <f t="shared" si="101"/>
        <v>0</v>
      </c>
      <c r="BP47">
        <f t="shared" si="102"/>
        <v>0</v>
      </c>
    </row>
    <row r="48" spans="1:68">
      <c r="A48" t="s">
        <v>500</v>
      </c>
      <c r="B48" s="12">
        <f>1/(PI()*(((1-DC_VIN_Var)*(1+(B44/B45)))-0.5))</f>
        <v>0.0779080141009278</v>
      </c>
      <c r="N48" s="7">
        <v>30</v>
      </c>
      <c r="O48" s="18">
        <f t="shared" si="62"/>
        <v>19.9526231496888</v>
      </c>
      <c r="P48" s="86" t="str">
        <f t="shared" si="50"/>
        <v>60</v>
      </c>
      <c r="Q48" s="4" t="str">
        <f t="shared" si="51"/>
        <v>1+0,163811610722053i</v>
      </c>
      <c r="R48" s="4">
        <f t="shared" si="63"/>
        <v>1.01332830011174</v>
      </c>
      <c r="S48" s="4">
        <f t="shared" si="64"/>
        <v>0.162369505589498</v>
      </c>
      <c r="T48" s="4" t="str">
        <f t="shared" si="52"/>
        <v>1+0,00196573932866464i</v>
      </c>
      <c r="U48" s="4">
        <f t="shared" si="65"/>
        <v>1.00000193206369</v>
      </c>
      <c r="V48" s="4">
        <f t="shared" si="66"/>
        <v>0.00196573679671235</v>
      </c>
      <c r="W48" t="str">
        <f t="shared" si="53"/>
        <v>1-0,00274238187592723i</v>
      </c>
      <c r="X48" s="4">
        <f t="shared" si="67"/>
        <v>1.00000376032211</v>
      </c>
      <c r="Y48" s="4">
        <f t="shared" si="68"/>
        <v>-0.0027423750011192</v>
      </c>
      <c r="Z48" t="str">
        <f t="shared" si="54"/>
        <v>0,999999996750146+0,000731728248643907i</v>
      </c>
      <c r="AA48" s="4">
        <f t="shared" si="69"/>
        <v>1.00000026446323</v>
      </c>
      <c r="AB48" s="4">
        <f t="shared" si="70"/>
        <v>0.000731728120426458</v>
      </c>
      <c r="AC48" s="67" t="str">
        <f t="shared" si="71"/>
        <v>58,4178336787613-9,66002186622108i</v>
      </c>
      <c r="AD48" s="68">
        <f t="shared" si="72"/>
        <v>35.4480687190276</v>
      </c>
      <c r="AE48" s="31">
        <f t="shared" si="73"/>
        <v>-9.38951041627668</v>
      </c>
      <c r="AF48" s="32" t="str">
        <f t="shared" si="74"/>
        <v>326,048966736478</v>
      </c>
      <c r="AG48" s="32" t="str">
        <f t="shared" si="55"/>
        <v>1+0,105307464035606i</v>
      </c>
      <c r="AH48" s="32">
        <f t="shared" si="75"/>
        <v>1.00552954306754</v>
      </c>
      <c r="AI48" s="32">
        <f t="shared" si="76"/>
        <v>0.104920759122196</v>
      </c>
      <c r="AJ48" s="32" t="str">
        <f t="shared" si="56"/>
        <v>1+0,00196573932866464i</v>
      </c>
      <c r="AK48" s="32">
        <f t="shared" si="77"/>
        <v>1.00000193206369</v>
      </c>
      <c r="AL48" s="32">
        <f t="shared" si="78"/>
        <v>0.00196573679671235</v>
      </c>
      <c r="AM48" s="32" t="str">
        <f t="shared" si="57"/>
        <v>1-0,00032441541996721i</v>
      </c>
      <c r="AN48" s="32">
        <f t="shared" si="79"/>
        <v>1.00000005262268</v>
      </c>
      <c r="AO48" s="32">
        <f t="shared" si="80"/>
        <v>-0.000324415408586138</v>
      </c>
      <c r="AP48" s="30" t="str">
        <f t="shared" si="81"/>
        <v>322,528794845256-33,4295374991035i</v>
      </c>
      <c r="AQ48" s="32">
        <f t="shared" si="82"/>
        <v>50.21777710459</v>
      </c>
      <c r="AR48" s="31">
        <f t="shared" si="83"/>
        <v>-5.91747589264637</v>
      </c>
      <c r="AS48" t="str">
        <f t="shared" si="58"/>
        <v>-0,000100699300699301</v>
      </c>
      <c r="AT48" t="str">
        <f t="shared" si="59"/>
        <v>0,0000281697466295244i</v>
      </c>
      <c r="AU48">
        <f t="shared" si="84"/>
        <v>2.81697466295244e-5</v>
      </c>
      <c r="AV48">
        <f t="shared" si="85"/>
        <v>1.5707963267949</v>
      </c>
      <c r="AW48" t="str">
        <f t="shared" si="60"/>
        <v>1+0,00144223935899739i</v>
      </c>
      <c r="AX48">
        <f t="shared" si="86"/>
        <v>1.00000104002664</v>
      </c>
      <c r="AY48">
        <f t="shared" si="87"/>
        <v>0.00144223835901988</v>
      </c>
      <c r="AZ48" t="str">
        <f t="shared" si="61"/>
        <v>1+0,0689513157375987i</v>
      </c>
      <c r="BA48">
        <f t="shared" si="88"/>
        <v>1.00237432326549</v>
      </c>
      <c r="BB48">
        <f t="shared" si="89"/>
        <v>0.0688423550095405</v>
      </c>
      <c r="BC48" s="30" t="str">
        <f t="shared" si="90"/>
        <v>-0,24132636800619+3,57508026305587i</v>
      </c>
      <c r="BD48" s="32">
        <f t="shared" si="91"/>
        <v>11.0854599090761</v>
      </c>
      <c r="BE48" s="31">
        <f t="shared" si="92"/>
        <v>93.8617422227643</v>
      </c>
      <c r="BF48" s="30" t="str">
        <f t="shared" si="93"/>
        <v>20,43758988613+211,179662187256i</v>
      </c>
      <c r="BG48" s="68">
        <f t="shared" si="94"/>
        <v>46.5335286281037</v>
      </c>
      <c r="BH48" s="31">
        <f t="shared" si="95"/>
        <v>84.4722318064876</v>
      </c>
      <c r="BI48" s="30" t="str">
        <f t="shared" si="96"/>
        <v>41,6785770787118+1161,13375758726i</v>
      </c>
      <c r="BJ48" s="68">
        <f t="shared" si="97"/>
        <v>61.3032370136661</v>
      </c>
      <c r="BK48" s="31">
        <f t="shared" si="98"/>
        <v>87.9442663301179</v>
      </c>
      <c r="BL48" s="32">
        <f t="shared" si="99"/>
        <v>46.5335286281037</v>
      </c>
      <c r="BM48" s="31">
        <f t="shared" si="100"/>
        <v>84.4722318064876</v>
      </c>
      <c r="BO48">
        <f t="shared" si="101"/>
        <v>0</v>
      </c>
      <c r="BP48">
        <f t="shared" si="102"/>
        <v>0</v>
      </c>
    </row>
    <row r="49" spans="1:68">
      <c r="N49" s="7">
        <v>31</v>
      </c>
      <c r="O49" s="18">
        <f t="shared" si="62"/>
        <v>20.4173794466953</v>
      </c>
      <c r="P49" s="86" t="str">
        <f t="shared" si="50"/>
        <v>60</v>
      </c>
      <c r="Q49" s="4" t="str">
        <f t="shared" si="51"/>
        <v>1+0,167627273306099i</v>
      </c>
      <c r="R49" s="4">
        <f t="shared" si="63"/>
        <v>1.01395212054418</v>
      </c>
      <c r="S49" s="4">
        <f t="shared" si="64"/>
        <v>0.166083175869773</v>
      </c>
      <c r="T49" s="4" t="str">
        <f t="shared" si="52"/>
        <v>1+0,00201152727967319i</v>
      </c>
      <c r="U49" s="4">
        <f t="shared" si="65"/>
        <v>1.00000202311895</v>
      </c>
      <c r="V49" s="4">
        <f t="shared" si="66"/>
        <v>0.00201152456663772</v>
      </c>
      <c r="W49" t="str">
        <f t="shared" si="53"/>
        <v>1-0,00280626015579407i</v>
      </c>
      <c r="X49" s="4">
        <f t="shared" si="67"/>
        <v>1.00000393754028</v>
      </c>
      <c r="Y49" s="4">
        <f t="shared" si="68"/>
        <v>-0.00280625278930611</v>
      </c>
      <c r="Z49" t="str">
        <f t="shared" si="54"/>
        <v>0,999999996596985+0,000748772389091177i</v>
      </c>
      <c r="AA49" s="4">
        <f t="shared" si="69"/>
        <v>1.00000027692699</v>
      </c>
      <c r="AB49" s="4">
        <f t="shared" si="70"/>
        <v>0.000748772251703708</v>
      </c>
      <c r="AC49" s="67" t="str">
        <f t="shared" si="71"/>
        <v>58,3453064123407-9,87287514217058i</v>
      </c>
      <c r="AD49" s="68">
        <f t="shared" si="72"/>
        <v>35.442725419392</v>
      </c>
      <c r="AE49" s="31">
        <f t="shared" si="73"/>
        <v>-9.60430108832495</v>
      </c>
      <c r="AF49" s="32" t="str">
        <f t="shared" si="74"/>
        <v>326,048966736478</v>
      </c>
      <c r="AG49" s="32" t="str">
        <f t="shared" si="55"/>
        <v>1+0,107760389982492i</v>
      </c>
      <c r="AH49" s="32">
        <f t="shared" si="75"/>
        <v>1.00578939229303</v>
      </c>
      <c r="AI49" s="32">
        <f t="shared" si="76"/>
        <v>0.107346156909697</v>
      </c>
      <c r="AJ49" s="32" t="str">
        <f t="shared" si="56"/>
        <v>1+0,00201152727967319i</v>
      </c>
      <c r="AK49" s="32">
        <f t="shared" si="77"/>
        <v>1.00000202311895</v>
      </c>
      <c r="AL49" s="32">
        <f t="shared" si="78"/>
        <v>0.00201152456663772</v>
      </c>
      <c r="AM49" s="32" t="str">
        <f t="shared" si="57"/>
        <v>1-0,000331972025840263i</v>
      </c>
      <c r="AN49" s="32">
        <f t="shared" si="79"/>
        <v>1.00000005510271</v>
      </c>
      <c r="AO49" s="32">
        <f t="shared" si="80"/>
        <v>-0.000331972013645224</v>
      </c>
      <c r="AP49" s="30" t="str">
        <f t="shared" si="81"/>
        <v>322,36479862867-34,1905391617639i</v>
      </c>
      <c r="AQ49" s="32">
        <f t="shared" si="82"/>
        <v>50.2155335969748</v>
      </c>
      <c r="AR49" s="31">
        <f t="shared" si="83"/>
        <v>-6.05425046511786</v>
      </c>
      <c r="AS49" t="str">
        <f t="shared" si="58"/>
        <v>-0,000100699300699301</v>
      </c>
      <c r="AT49" t="str">
        <f t="shared" si="59"/>
        <v>0,0000288259043203168i</v>
      </c>
      <c r="AU49">
        <f t="shared" si="84"/>
        <v>2.88259043203168e-5</v>
      </c>
      <c r="AV49">
        <f t="shared" si="85"/>
        <v>1.5707963267949</v>
      </c>
      <c r="AW49" t="str">
        <f t="shared" si="60"/>
        <v>1+0,00147583342925352i</v>
      </c>
      <c r="AX49">
        <f t="shared" si="86"/>
        <v>1.00000108904156</v>
      </c>
      <c r="AY49">
        <f t="shared" si="87"/>
        <v>0.00147583235775837</v>
      </c>
      <c r="AZ49" t="str">
        <f t="shared" si="61"/>
        <v>1+0,0705573982028222i</v>
      </c>
      <c r="BA49">
        <f t="shared" si="88"/>
        <v>1.00248608291644</v>
      </c>
      <c r="BB49">
        <f t="shared" si="89"/>
        <v>0.0704406603111867</v>
      </c>
      <c r="BC49" s="30" t="str">
        <f t="shared" si="90"/>
        <v>-0,24132634434903+3,49371753065677i</v>
      </c>
      <c r="BD49" s="32">
        <f t="shared" si="91"/>
        <v>10.8864278619768</v>
      </c>
      <c r="BE49" s="31">
        <f t="shared" si="92"/>
        <v>93.9513935765773</v>
      </c>
      <c r="BF49" s="30" t="str">
        <f t="shared" si="93"/>
        <v>20,4127774557726+206,22460471061i</v>
      </c>
      <c r="BG49" s="68">
        <f t="shared" si="94"/>
        <v>46.3291532813688</v>
      </c>
      <c r="BH49" s="31">
        <f t="shared" si="95"/>
        <v>84.3470924882523</v>
      </c>
      <c r="BI49" s="30" t="str">
        <f t="shared" si="96"/>
        <v>41,6569676521932+1134,50262606285i</v>
      </c>
      <c r="BJ49" s="68">
        <f t="shared" si="97"/>
        <v>61.1019614589515</v>
      </c>
      <c r="BK49" s="31">
        <f t="shared" si="98"/>
        <v>87.8971431114594</v>
      </c>
      <c r="BL49" s="32">
        <f t="shared" si="99"/>
        <v>46.3291532813688</v>
      </c>
      <c r="BM49" s="31">
        <f t="shared" si="100"/>
        <v>84.3470924882523</v>
      </c>
      <c r="BO49">
        <f t="shared" si="101"/>
        <v>0</v>
      </c>
      <c r="BP49">
        <f t="shared" si="102"/>
        <v>0</v>
      </c>
    </row>
    <row r="50" ht="15.75" spans="1:68">
      <c r="A50" s="87" t="s">
        <v>438</v>
      </c>
      <c r="N50" s="7">
        <v>32</v>
      </c>
      <c r="O50" s="18">
        <f t="shared" si="62"/>
        <v>20.8929613085404</v>
      </c>
      <c r="P50" s="86" t="str">
        <f t="shared" si="50"/>
        <v>60</v>
      </c>
      <c r="Q50" s="4" t="str">
        <f t="shared" si="51"/>
        <v>1+0,171531814089263i</v>
      </c>
      <c r="R50" s="4">
        <f t="shared" si="63"/>
        <v>1.01460492963752</v>
      </c>
      <c r="S50" s="4">
        <f t="shared" si="64"/>
        <v>0.169878567453243</v>
      </c>
      <c r="T50" s="4" t="str">
        <f t="shared" si="52"/>
        <v>1+0,00205838176907116i</v>
      </c>
      <c r="U50" s="4">
        <f t="shared" si="65"/>
        <v>1.00000211846551</v>
      </c>
      <c r="V50" s="4">
        <f t="shared" si="66"/>
        <v>0.00205837886200162</v>
      </c>
      <c r="W50" t="str">
        <f t="shared" si="53"/>
        <v>1-0,00287162635194079i</v>
      </c>
      <c r="X50" s="4">
        <f t="shared" si="67"/>
        <v>1.00000412311045</v>
      </c>
      <c r="Y50" s="4">
        <f t="shared" si="68"/>
        <v>-0.00287161845860849</v>
      </c>
      <c r="Z50" t="str">
        <f t="shared" si="54"/>
        <v>0,999999996436605+0,000766213538570324i</v>
      </c>
      <c r="AA50" s="4">
        <f t="shared" si="69"/>
        <v>1.00000028997816</v>
      </c>
      <c r="AB50" s="4">
        <f t="shared" si="70"/>
        <v>0.000766213391357001</v>
      </c>
      <c r="AC50" s="67" t="str">
        <f t="shared" si="71"/>
        <v>58,2695520377361-10,0898496710938i</v>
      </c>
      <c r="AD50" s="68">
        <f t="shared" si="72"/>
        <v>35.4371373408402</v>
      </c>
      <c r="AE50" s="31">
        <f t="shared" si="73"/>
        <v>-9.82382093494891</v>
      </c>
      <c r="AF50" s="32" t="str">
        <f t="shared" si="74"/>
        <v>326,048966736478</v>
      </c>
      <c r="AG50" s="32" t="str">
        <f t="shared" si="55"/>
        <v>1+0,110270451914526i</v>
      </c>
      <c r="AH50" s="32">
        <f t="shared" si="75"/>
        <v>1.00606141590135</v>
      </c>
      <c r="AI50" s="32">
        <f t="shared" si="76"/>
        <v>0.109826737483012</v>
      </c>
      <c r="AJ50" s="32" t="str">
        <f t="shared" si="56"/>
        <v>1+0,00205838176907116i</v>
      </c>
      <c r="AK50" s="32">
        <f t="shared" si="77"/>
        <v>1.00000211846551</v>
      </c>
      <c r="AL50" s="32">
        <f t="shared" si="78"/>
        <v>0.00205837886200162</v>
      </c>
      <c r="AM50" s="32" t="str">
        <f t="shared" si="57"/>
        <v>1-0,000339704647675588i</v>
      </c>
      <c r="AN50" s="32">
        <f t="shared" si="79"/>
        <v>1.00000005769962</v>
      </c>
      <c r="AO50" s="32">
        <f t="shared" si="80"/>
        <v>-0.000339704634608369</v>
      </c>
      <c r="AP50" s="30" t="str">
        <f t="shared" si="81"/>
        <v>322,193255031787-34,9680229365827i</v>
      </c>
      <c r="AQ50" s="32">
        <f t="shared" si="82"/>
        <v>50.2131855985245</v>
      </c>
      <c r="AR50" s="31">
        <f t="shared" si="83"/>
        <v>-6.19413575588033</v>
      </c>
      <c r="AS50" t="str">
        <f t="shared" si="58"/>
        <v>-0,000100699300699301</v>
      </c>
      <c r="AT50" t="str">
        <f t="shared" si="59"/>
        <v>0,0000294973458871357i</v>
      </c>
      <c r="AU50">
        <f t="shared" si="84"/>
        <v>2.94973458871357e-5</v>
      </c>
      <c r="AV50">
        <f t="shared" si="85"/>
        <v>1.5707963267949</v>
      </c>
      <c r="AW50" t="str">
        <f t="shared" si="60"/>
        <v>1+0,0015102100059288i</v>
      </c>
      <c r="AX50">
        <f t="shared" si="86"/>
        <v>1.00000114036648</v>
      </c>
      <c r="AY50">
        <f t="shared" si="87"/>
        <v>0.00151020885780114</v>
      </c>
      <c r="AZ50" t="str">
        <f t="shared" si="61"/>
        <v>1+0,0722008911345111i</v>
      </c>
      <c r="BA50">
        <f t="shared" si="88"/>
        <v>1.00260309628517</v>
      </c>
      <c r="BB50">
        <f t="shared" si="89"/>
        <v>0.0720758217636342</v>
      </c>
      <c r="BC50" s="30" t="str">
        <f t="shared" si="90"/>
        <v>-0,241326319576951+3,41420721353396i</v>
      </c>
      <c r="BD50" s="32">
        <f t="shared" si="91"/>
        <v>10.6874412017147</v>
      </c>
      <c r="BE50" s="31">
        <f t="shared" si="92"/>
        <v>94.0431117982581</v>
      </c>
      <c r="BF50" s="30" t="str">
        <f t="shared" si="93"/>
        <v>20,3868609938572+201,379271182841i</v>
      </c>
      <c r="BG50" s="68">
        <f t="shared" si="94"/>
        <v>46.1245785425549</v>
      </c>
      <c r="BH50" s="31">
        <f t="shared" si="95"/>
        <v>84.2192908633092</v>
      </c>
      <c r="BI50" s="30" t="str">
        <f t="shared" ref="BI50:BI113" si="103">IMPRODUCT(AP50,BC50)</f>
        <v>41,6343637237625+1108,47323975968i</v>
      </c>
      <c r="BJ50" s="68">
        <f t="shared" si="97"/>
        <v>60.9006268002392</v>
      </c>
      <c r="BK50" s="31">
        <f t="shared" ref="BK50:BK113" si="104">(180/PI())*IMARGUMENT(BI50)</f>
        <v>87.8489760423778</v>
      </c>
      <c r="BL50" s="32">
        <f t="shared" si="99"/>
        <v>46.1245785425549</v>
      </c>
      <c r="BM50" s="31">
        <f t="shared" si="100"/>
        <v>84.2192908633092</v>
      </c>
      <c r="BO50">
        <f t="shared" si="101"/>
        <v>0</v>
      </c>
      <c r="BP50">
        <f t="shared" si="102"/>
        <v>0</v>
      </c>
    </row>
    <row r="51" spans="1:68">
      <c r="A51" t="s">
        <v>501</v>
      </c>
      <c r="N51" s="7">
        <v>33</v>
      </c>
      <c r="O51" s="18">
        <f t="shared" si="62"/>
        <v>21.3796208950223</v>
      </c>
      <c r="P51" s="86" t="str">
        <f t="shared" si="50"/>
        <v>60</v>
      </c>
      <c r="Q51" s="4" t="str">
        <f t="shared" si="51"/>
        <v>1+0,175527303310747i</v>
      </c>
      <c r="R51" s="4">
        <f t="shared" si="63"/>
        <v>1.01528805479408</v>
      </c>
      <c r="S51" s="4">
        <f t="shared" si="64"/>
        <v>0.173757255106168</v>
      </c>
      <c r="T51" s="4" t="str">
        <f t="shared" si="52"/>
        <v>1+0,00210632763972897i</v>
      </c>
      <c r="U51" s="4">
        <f t="shared" si="65"/>
        <v>1.0000022183056</v>
      </c>
      <c r="V51" s="4">
        <f t="shared" si="66"/>
        <v>0.0021063245247482</v>
      </c>
      <c r="W51" t="str">
        <f t="shared" si="53"/>
        <v>1-0,00293851512238974i</v>
      </c>
      <c r="X51" s="4">
        <f t="shared" si="67"/>
        <v>1.00000431742624</v>
      </c>
      <c r="Y51" s="4">
        <f t="shared" si="68"/>
        <v>-0.00293850666453377</v>
      </c>
      <c r="Z51" t="str">
        <f t="shared" si="54"/>
        <v>0,999999996268668+0,00078406094460965i</v>
      </c>
      <c r="AA51" s="4">
        <f t="shared" si="69"/>
        <v>1.0000003036444</v>
      </c>
      <c r="AB51" s="4">
        <f t="shared" si="70"/>
        <v>0.000784060786867735</v>
      </c>
      <c r="AC51" s="67" t="str">
        <f t="shared" si="71"/>
        <v>58,190436085332-10,3109854622683i</v>
      </c>
      <c r="AD51" s="68">
        <f t="shared" si="72"/>
        <v>35.4312936069278</v>
      </c>
      <c r="AE51" s="31">
        <f t="shared" si="73"/>
        <v>-10.0481612757266</v>
      </c>
      <c r="AF51" s="32" t="str">
        <f t="shared" si="74"/>
        <v>326,048966736478</v>
      </c>
      <c r="AG51" s="32" t="str">
        <f t="shared" si="55"/>
        <v>1+0,112838980699766i</v>
      </c>
      <c r="AH51" s="32">
        <f t="shared" si="75"/>
        <v>1.00634618077745</v>
      </c>
      <c r="AI51" s="32">
        <f t="shared" si="76"/>
        <v>0.112363693902746</v>
      </c>
      <c r="AJ51" s="32" t="str">
        <f t="shared" si="56"/>
        <v>1+0,00210632763972897i</v>
      </c>
      <c r="AK51" s="32">
        <f t="shared" si="77"/>
        <v>1.0000022183056</v>
      </c>
      <c r="AL51" s="32">
        <f t="shared" si="78"/>
        <v>0.0021063245247482</v>
      </c>
      <c r="AM51" s="32" t="str">
        <f t="shared" si="57"/>
        <v>1-0,000347617385411631i</v>
      </c>
      <c r="AN51" s="32">
        <f t="shared" si="79"/>
        <v>1.00000006041892</v>
      </c>
      <c r="AO51" s="32">
        <f t="shared" si="80"/>
        <v>-0.000347617371409853</v>
      </c>
      <c r="AP51" s="30" t="str">
        <f t="shared" si="81"/>
        <v>322,013825547673-35,7622861848227i</v>
      </c>
      <c r="AQ51" s="32">
        <f t="shared" si="82"/>
        <v>50.2107283031306</v>
      </c>
      <c r="AR51" s="31">
        <f t="shared" si="83"/>
        <v>-6.33719893384145</v>
      </c>
      <c r="AS51" t="str">
        <f t="shared" si="58"/>
        <v>-0,000100699300699301</v>
      </c>
      <c r="AT51" t="str">
        <f t="shared" si="59"/>
        <v>0,0000301844273371874i</v>
      </c>
      <c r="AU51">
        <f t="shared" si="84"/>
        <v>3.01844273371874e-5</v>
      </c>
      <c r="AV51">
        <f t="shared" si="85"/>
        <v>1.5707963267949</v>
      </c>
      <c r="AW51" t="str">
        <f t="shared" si="60"/>
        <v>1+0,00154538731593922i</v>
      </c>
      <c r="AX51">
        <f t="shared" si="86"/>
        <v>1.00000119411027</v>
      </c>
      <c r="AY51">
        <f t="shared" si="87"/>
        <v>0.00154538608569834</v>
      </c>
      <c r="AZ51" t="str">
        <f t="shared" si="61"/>
        <v>1+0,0738826659343706i</v>
      </c>
      <c r="BA51">
        <f t="shared" si="88"/>
        <v>1.0027256096887</v>
      </c>
      <c r="BB51">
        <f t="shared" si="89"/>
        <v>0.0737486713553593</v>
      </c>
      <c r="BC51" s="30" t="str">
        <f t="shared" si="90"/>
        <v>-0,241326293637403+3,33650715426461i</v>
      </c>
      <c r="BD51" s="32">
        <f t="shared" si="91"/>
        <v>10.4885020451012</v>
      </c>
      <c r="BE51" s="31">
        <f t="shared" si="92"/>
        <v>94.1369435129307</v>
      </c>
      <c r="BF51" s="30" t="str">
        <f t="shared" si="93"/>
        <v>20,3597944967592+196,641118213846i</v>
      </c>
      <c r="BG51" s="68">
        <f t="shared" si="94"/>
        <v>45.919795652029</v>
      </c>
      <c r="BH51" s="31">
        <f t="shared" si="95"/>
        <v>84.0887822372041</v>
      </c>
      <c r="BI51" s="30" t="str">
        <f t="shared" si="103"/>
        <v>41,6107206890982+1083,03181268891i</v>
      </c>
      <c r="BJ51" s="68">
        <f t="shared" si="97"/>
        <v>60.6992303482318</v>
      </c>
      <c r="BK51" s="31">
        <f t="shared" si="104"/>
        <v>87.7997445790892</v>
      </c>
      <c r="BL51" s="32">
        <f t="shared" si="99"/>
        <v>45.919795652029</v>
      </c>
      <c r="BM51" s="31">
        <f t="shared" si="100"/>
        <v>84.0887822372041</v>
      </c>
      <c r="BO51">
        <f t="shared" si="101"/>
        <v>0</v>
      </c>
      <c r="BP51">
        <f t="shared" si="102"/>
        <v>0</v>
      </c>
    </row>
    <row r="52" spans="1:68">
      <c r="A52" t="s">
        <v>291</v>
      </c>
      <c r="B52" s="15">
        <f>RFBT</f>
        <v>15000</v>
      </c>
      <c r="C52" s="16" t="s">
        <v>35</v>
      </c>
      <c r="E52" t="s">
        <v>502</v>
      </c>
      <c r="N52" s="7">
        <v>34</v>
      </c>
      <c r="O52" s="18">
        <f t="shared" si="62"/>
        <v>21.8776162394955</v>
      </c>
      <c r="P52" s="86" t="str">
        <f t="shared" si="50"/>
        <v>60</v>
      </c>
      <c r="Q52" s="4" t="str">
        <f t="shared" si="51"/>
        <v>1+0,179615859431826i</v>
      </c>
      <c r="R52" s="4">
        <f t="shared" si="63"/>
        <v>1.01600288235784</v>
      </c>
      <c r="S52" s="4">
        <f t="shared" si="64"/>
        <v>0.177720828312468</v>
      </c>
      <c r="T52" s="4" t="str">
        <f t="shared" si="52"/>
        <v>1+0,00215539031318192i</v>
      </c>
      <c r="U52" s="4">
        <f t="shared" si="65"/>
        <v>1.000002322851</v>
      </c>
      <c r="V52" s="4">
        <f t="shared" si="66"/>
        <v>0.00215538697542031</v>
      </c>
      <c r="W52" t="str">
        <f t="shared" si="53"/>
        <v>1-0,00300696193245245i</v>
      </c>
      <c r="X52" s="4">
        <f t="shared" si="67"/>
        <v>1.00000452089981</v>
      </c>
      <c r="Y52" s="4">
        <f t="shared" si="68"/>
        <v>-0.00300695286969871</v>
      </c>
      <c r="Z52" t="str">
        <f t="shared" si="54"/>
        <v>0,999999996092816+0,000802324070140084i</v>
      </c>
      <c r="AA52" s="4">
        <f t="shared" si="69"/>
        <v>1.00000031795472</v>
      </c>
      <c r="AB52" s="4">
        <f t="shared" si="70"/>
        <v>0.00080232390111658</v>
      </c>
      <c r="AC52" s="67" t="str">
        <f t="shared" si="71"/>
        <v>58,1078193332472-10,5363198993119i</v>
      </c>
      <c r="AD52" s="68">
        <f t="shared" si="72"/>
        <v>35.4251828894059</v>
      </c>
      <c r="AE52" s="31">
        <f t="shared" si="73"/>
        <v>-10.2774142989294</v>
      </c>
      <c r="AF52" s="32" t="str">
        <f t="shared" si="74"/>
        <v>326,048966736478</v>
      </c>
      <c r="AG52" s="32" t="str">
        <f t="shared" si="55"/>
        <v>1+0,115467338206174i</v>
      </c>
      <c r="AH52" s="32">
        <f t="shared" si="75"/>
        <v>1.00664427986872</v>
      </c>
      <c r="AI52" s="32">
        <f t="shared" si="76"/>
        <v>0.114958240600123</v>
      </c>
      <c r="AJ52" s="32" t="str">
        <f t="shared" si="56"/>
        <v>1+0,00215539031318192i</v>
      </c>
      <c r="AK52" s="32">
        <f t="shared" si="77"/>
        <v>1.000002322851</v>
      </c>
      <c r="AL52" s="32">
        <f t="shared" si="78"/>
        <v>0.00215538697542031</v>
      </c>
      <c r="AM52" s="32" t="str">
        <f t="shared" si="57"/>
        <v>1-0,00035571443448668i</v>
      </c>
      <c r="AN52" s="32">
        <f t="shared" si="79"/>
        <v>1.00000006326638</v>
      </c>
      <c r="AO52" s="32">
        <f t="shared" si="80"/>
        <v>-0.000355714419483505</v>
      </c>
      <c r="AP52" s="30" t="str">
        <f t="shared" si="81"/>
        <v>321,826157327505-36,5736272910193i</v>
      </c>
      <c r="AQ52" s="32">
        <f t="shared" si="82"/>
        <v>50.2081566893864</v>
      </c>
      <c r="AR52" s="31">
        <f t="shared" si="83"/>
        <v>-6.48350836467581</v>
      </c>
      <c r="AS52" t="str">
        <f t="shared" si="58"/>
        <v>-0,000100699300699301</v>
      </c>
      <c r="AT52" t="str">
        <f t="shared" si="59"/>
        <v>0,0000308875129701515i</v>
      </c>
      <c r="AU52">
        <f t="shared" si="84"/>
        <v>3.08875129701515e-5</v>
      </c>
      <c r="AV52">
        <f t="shared" si="85"/>
        <v>1.5707963267949</v>
      </c>
      <c r="AW52" t="str">
        <f t="shared" si="60"/>
        <v>1+0,00158138401076017i</v>
      </c>
      <c r="AX52">
        <f t="shared" si="86"/>
        <v>1.00000125038691</v>
      </c>
      <c r="AY52">
        <f t="shared" si="87"/>
        <v>0.00158138269253341</v>
      </c>
      <c r="AZ52" t="str">
        <f t="shared" si="61"/>
        <v>1+0,0756036143016615i</v>
      </c>
      <c r="BA52">
        <f t="shared" si="88"/>
        <v>1.00285388092956</v>
      </c>
      <c r="BB52">
        <f t="shared" si="89"/>
        <v>0.0754600585816053</v>
      </c>
      <c r="BC52" s="30" t="str">
        <f t="shared" si="90"/>
        <v>-0,241326266475369+3,26057615524856i</v>
      </c>
      <c r="BD52" s="32">
        <f t="shared" si="91"/>
        <v>10.289612606585</v>
      </c>
      <c r="BE52" s="31">
        <f t="shared" si="92"/>
        <v>94.2329363244587</v>
      </c>
      <c r="BF52" s="30" t="str">
        <f t="shared" si="93"/>
        <v>20,3315303350495+192,007660895168i</v>
      </c>
      <c r="BG52" s="68">
        <f t="shared" si="94"/>
        <v>45.7147954959909</v>
      </c>
      <c r="BH52" s="31">
        <f t="shared" si="95"/>
        <v>83.9555220255293</v>
      </c>
      <c r="BI52" s="30" t="str">
        <f t="shared" si="103"/>
        <v>41,585992054084+1058,16487164294i</v>
      </c>
      <c r="BJ52" s="68">
        <f t="shared" si="97"/>
        <v>60.4977692959715</v>
      </c>
      <c r="BK52" s="31">
        <f t="shared" si="104"/>
        <v>87.7494279597829</v>
      </c>
      <c r="BL52" s="32">
        <f t="shared" si="99"/>
        <v>45.7147954959909</v>
      </c>
      <c r="BM52" s="31">
        <f t="shared" si="100"/>
        <v>83.9555220255293</v>
      </c>
      <c r="BO52">
        <f t="shared" si="101"/>
        <v>0</v>
      </c>
      <c r="BP52">
        <f t="shared" si="102"/>
        <v>0</v>
      </c>
    </row>
    <row r="53" spans="1:68">
      <c r="A53" t="s">
        <v>295</v>
      </c>
      <c r="B53" s="15">
        <f>RFBB</f>
        <v>2160</v>
      </c>
      <c r="C53" s="16" t="s">
        <v>35</v>
      </c>
      <c r="E53" t="s">
        <v>503</v>
      </c>
      <c r="N53" s="7">
        <v>35</v>
      </c>
      <c r="O53" s="18">
        <f t="shared" si="62"/>
        <v>22.3872113856834</v>
      </c>
      <c r="P53" s="86" t="str">
        <f t="shared" si="50"/>
        <v>60</v>
      </c>
      <c r="Q53" s="4" t="str">
        <f t="shared" si="51"/>
        <v>1+0,183799650259072i</v>
      </c>
      <c r="R53" s="4">
        <f t="shared" si="63"/>
        <v>1.01675086006128</v>
      </c>
      <c r="S53" s="4">
        <f t="shared" si="64"/>
        <v>0.181770890224989</v>
      </c>
      <c r="T53" s="4" t="str">
        <f t="shared" si="52"/>
        <v>1+0,00220559580310887i</v>
      </c>
      <c r="U53" s="4">
        <f t="shared" si="65"/>
        <v>1.00000243232347</v>
      </c>
      <c r="V53" s="4">
        <f t="shared" si="66"/>
        <v>0.00220559222663334</v>
      </c>
      <c r="W53" t="str">
        <f t="shared" si="53"/>
        <v>1-0,00307700307353357i</v>
      </c>
      <c r="X53" s="4">
        <f t="shared" si="67"/>
        <v>1.00000473396275</v>
      </c>
      <c r="Y53" s="4">
        <f t="shared" si="68"/>
        <v>-0.00307699336262046</v>
      </c>
      <c r="Z53" t="str">
        <f t="shared" si="54"/>
        <v>0,999999995908676+0,000821012598512516i</v>
      </c>
      <c r="AA53" s="4">
        <f t="shared" si="69"/>
        <v>1.00000033293946</v>
      </c>
      <c r="AB53" s="4">
        <f t="shared" si="70"/>
        <v>0.000821012417400571</v>
      </c>
      <c r="AC53" s="67" t="str">
        <f t="shared" si="71"/>
        <v>58,0215577202346-10,7658874750853i</v>
      </c>
      <c r="AD53" s="68">
        <f t="shared" si="72"/>
        <v>35.4187933923871</v>
      </c>
      <c r="AE53" s="31">
        <f t="shared" si="73"/>
        <v>-10.5116730020275</v>
      </c>
      <c r="AF53" s="32" t="str">
        <f t="shared" si="74"/>
        <v>326,048966736478</v>
      </c>
      <c r="AG53" s="32" t="str">
        <f t="shared" si="55"/>
        <v>1+0,118156918023689i</v>
      </c>
      <c r="AH53" s="32">
        <f t="shared" si="75"/>
        <v>1.00695633335158</v>
      </c>
      <c r="AI53" s="32">
        <f t="shared" si="76"/>
        <v>0.117611613437468</v>
      </c>
      <c r="AJ53" s="32" t="str">
        <f t="shared" si="56"/>
        <v>1+0,00220559580310887i</v>
      </c>
      <c r="AK53" s="32">
        <f t="shared" si="77"/>
        <v>1.00000243232347</v>
      </c>
      <c r="AL53" s="32">
        <f t="shared" si="78"/>
        <v>0.00220559222663334</v>
      </c>
      <c r="AM53" s="32" t="str">
        <f t="shared" si="57"/>
        <v>1-0,00036400008806333i</v>
      </c>
      <c r="AN53" s="32">
        <f t="shared" si="79"/>
        <v>1.00000006624803</v>
      </c>
      <c r="AO53" s="32">
        <f t="shared" si="80"/>
        <v>-0.000364000071987138</v>
      </c>
      <c r="AP53" s="30" t="str">
        <f t="shared" si="81"/>
        <v>321,629882653333-37,4023452986017i</v>
      </c>
      <c r="AQ53" s="32">
        <f t="shared" si="82"/>
        <v>50.2054655114904</v>
      </c>
      <c r="AR53" s="31">
        <f t="shared" si="83"/>
        <v>-6.6331336136454</v>
      </c>
      <c r="AS53" t="str">
        <f t="shared" si="58"/>
        <v>-0,000100699300699301</v>
      </c>
      <c r="AT53" t="str">
        <f t="shared" si="59"/>
        <v>0,000031606975571337i</v>
      </c>
      <c r="AU53">
        <f t="shared" si="84"/>
        <v>3.1606975571337e-5</v>
      </c>
      <c r="AV53">
        <f t="shared" si="85"/>
        <v>1.5707963267949</v>
      </c>
      <c r="AW53" t="str">
        <f t="shared" si="60"/>
        <v>1+0,0016182191763157i</v>
      </c>
      <c r="AX53">
        <f t="shared" si="86"/>
        <v>1.00000130931579</v>
      </c>
      <c r="AY53">
        <f t="shared" si="87"/>
        <v>0.00161821776381038</v>
      </c>
      <c r="AZ53" t="str">
        <f t="shared" si="61"/>
        <v>1+0,0773646487059869i</v>
      </c>
      <c r="BA53">
        <f t="shared" si="88"/>
        <v>1.00298817982537</v>
      </c>
      <c r="BB53">
        <f t="shared" si="89"/>
        <v>0.0772108507209621</v>
      </c>
      <c r="BC53" s="30" t="str">
        <f t="shared" si="90"/>
        <v>-0,241326238033231+3,1863739568648i</v>
      </c>
      <c r="BD53" s="32">
        <f t="shared" si="91"/>
        <v>10.0907752026516</v>
      </c>
      <c r="BE53" s="31">
        <f t="shared" si="92"/>
        <v>94.3311388307263</v>
      </c>
      <c r="BF53" s="30" t="str">
        <f t="shared" si="93"/>
        <v>20,3020192236966+187,476471579935i</v>
      </c>
      <c r="BG53" s="68">
        <f t="shared" si="94"/>
        <v>45.5095685950387</v>
      </c>
      <c r="BH53" s="31">
        <f t="shared" si="95"/>
        <v>83.8194658286988</v>
      </c>
      <c r="BI53" s="30" t="str">
        <f t="shared" si="103"/>
        <v>41,5601293653307+1033,85924912059i</v>
      </c>
      <c r="BJ53" s="68">
        <f t="shared" si="97"/>
        <v>60.296240714142</v>
      </c>
      <c r="BK53" s="31">
        <f t="shared" si="104"/>
        <v>87.6980052170809</v>
      </c>
      <c r="BL53" s="32">
        <f t="shared" si="99"/>
        <v>45.5095685950387</v>
      </c>
      <c r="BM53" s="31">
        <f t="shared" si="100"/>
        <v>83.8194658286988</v>
      </c>
      <c r="BO53">
        <f t="shared" si="101"/>
        <v>0</v>
      </c>
      <c r="BP53">
        <f t="shared" si="102"/>
        <v>0</v>
      </c>
    </row>
    <row r="54" spans="1:68">
      <c r="A54" t="s">
        <v>361</v>
      </c>
      <c r="B54" s="15">
        <f>RCOMP</f>
        <v>2500</v>
      </c>
      <c r="C54" s="16" t="s">
        <v>35</v>
      </c>
      <c r="E54" t="s">
        <v>362</v>
      </c>
      <c r="N54" s="7">
        <v>36</v>
      </c>
      <c r="O54" s="18">
        <f t="shared" si="62"/>
        <v>22.9086765276777</v>
      </c>
      <c r="P54" s="86" t="str">
        <f t="shared" si="50"/>
        <v>60</v>
      </c>
      <c r="Q54" s="4" t="str">
        <f t="shared" si="51"/>
        <v>1+0,188080894093762i</v>
      </c>
      <c r="R54" s="4">
        <f t="shared" si="63"/>
        <v>1.01753349955818</v>
      </c>
      <c r="S54" s="4">
        <f t="shared" si="64"/>
        <v>0.185909056513092</v>
      </c>
      <c r="T54" s="4" t="str">
        <f t="shared" si="52"/>
        <v>1+0,00225697072912514i</v>
      </c>
      <c r="U54" s="4">
        <f t="shared" si="65"/>
        <v>1.00000254695519</v>
      </c>
      <c r="V54" s="4">
        <f t="shared" si="66"/>
        <v>0.00225696689686309</v>
      </c>
      <c r="W54" t="str">
        <f t="shared" si="53"/>
        <v>1-0,00314867568237324i</v>
      </c>
      <c r="X54" s="4">
        <f t="shared" si="67"/>
        <v>1.00000495706699</v>
      </c>
      <c r="Y54" s="4">
        <f t="shared" si="68"/>
        <v>-0.00314866527694515</v>
      </c>
      <c r="Z54" t="str">
        <f t="shared" si="54"/>
        <v>0,999999995715858+0,00084013643863207i</v>
      </c>
      <c r="AA54" s="4">
        <f t="shared" si="69"/>
        <v>1.00000034863041</v>
      </c>
      <c r="AB54" s="4">
        <f t="shared" si="70"/>
        <v>0.000840136244567128</v>
      </c>
      <c r="AC54" s="67" t="str">
        <f t="shared" si="71"/>
        <v>57,9315022654838-10,9997195113419i</v>
      </c>
      <c r="AD54" s="68">
        <f t="shared" si="72"/>
        <v>35.4121128362364</v>
      </c>
      <c r="AE54" s="31">
        <f t="shared" si="73"/>
        <v>-10.7510311262663</v>
      </c>
      <c r="AF54" s="32" t="str">
        <f t="shared" si="74"/>
        <v>326,048966736478</v>
      </c>
      <c r="AG54" s="32" t="str">
        <f t="shared" si="55"/>
        <v>1+0,120909146203133i</v>
      </c>
      <c r="AH54" s="32">
        <f t="shared" si="75"/>
        <v>1.00728298984723</v>
      </c>
      <c r="AI54" s="32">
        <f t="shared" si="76"/>
        <v>0.120325069741409</v>
      </c>
      <c r="AJ54" s="32" t="str">
        <f t="shared" si="56"/>
        <v>1+0,00225697072912514i</v>
      </c>
      <c r="AK54" s="32">
        <f t="shared" si="77"/>
        <v>1.00000254695519</v>
      </c>
      <c r="AL54" s="32">
        <f t="shared" si="78"/>
        <v>0.00225696689686309</v>
      </c>
      <c r="AM54" s="32" t="str">
        <f t="shared" si="57"/>
        <v>1-0,000372478739304782i</v>
      </c>
      <c r="AN54" s="32">
        <f t="shared" si="79"/>
        <v>1.0000000693702</v>
      </c>
      <c r="AO54" s="32">
        <f t="shared" si="80"/>
        <v>-0.000372478722078832</v>
      </c>
      <c r="AP54" s="30" t="str">
        <f t="shared" si="81"/>
        <v>321,42461839935-38,2487395132292i</v>
      </c>
      <c r="AQ54" s="32">
        <f t="shared" si="82"/>
        <v>50.2026492898169</v>
      </c>
      <c r="AR54" s="31">
        <f t="shared" si="83"/>
        <v>-6.78614544684259</v>
      </c>
      <c r="AS54" t="str">
        <f t="shared" si="58"/>
        <v>-0,000100699300699301</v>
      </c>
      <c r="AT54" t="str">
        <f t="shared" si="59"/>
        <v>0,000032343196609338i</v>
      </c>
      <c r="AU54">
        <f t="shared" si="84"/>
        <v>3.2343196609338e-5</v>
      </c>
      <c r="AV54">
        <f t="shared" si="85"/>
        <v>1.5707963267949</v>
      </c>
      <c r="AW54" t="str">
        <f t="shared" si="60"/>
        <v>1+0,00165591234309819i</v>
      </c>
      <c r="AX54">
        <f t="shared" si="86"/>
        <v>1.0000013710219</v>
      </c>
      <c r="AY54">
        <f t="shared" si="87"/>
        <v>0.00165591082957158</v>
      </c>
      <c r="AZ54" t="str">
        <f t="shared" si="61"/>
        <v>1+0,0791667028710986i</v>
      </c>
      <c r="BA54">
        <f t="shared" si="88"/>
        <v>1.00312878876218</v>
      </c>
      <c r="BB54">
        <f t="shared" si="89"/>
        <v>0.0790019331093419</v>
      </c>
      <c r="BC54" s="30" t="str">
        <f t="shared" si="90"/>
        <v>-0,241326208250667+3,11386121612529i</v>
      </c>
      <c r="BD54" s="32">
        <f t="shared" si="91"/>
        <v>9.89199225641014</v>
      </c>
      <c r="BE54" s="31">
        <f t="shared" si="92"/>
        <v>94.4316006387557</v>
      </c>
      <c r="BF54" s="30" t="str">
        <f t="shared" si="93"/>
        <v>20,27121019463+183,045178697857i</v>
      </c>
      <c r="BG54" s="68">
        <f t="shared" si="94"/>
        <v>45.3041050926465</v>
      </c>
      <c r="BH54" s="31">
        <f t="shared" si="95"/>
        <v>83.6805695124893</v>
      </c>
      <c r="BI54" s="30" t="str">
        <f t="shared" si="103"/>
        <v>41,5330821391906+1010,1020764187i</v>
      </c>
      <c r="BJ54" s="68">
        <f t="shared" si="97"/>
        <v>60.094641546227</v>
      </c>
      <c r="BK54" s="31">
        <f t="shared" si="104"/>
        <v>87.6454551919131</v>
      </c>
      <c r="BL54" s="32">
        <f t="shared" si="99"/>
        <v>45.3041050926465</v>
      </c>
      <c r="BM54" s="31">
        <f t="shared" si="100"/>
        <v>83.6805695124893</v>
      </c>
      <c r="BO54">
        <f t="shared" si="101"/>
        <v>0</v>
      </c>
      <c r="BP54">
        <f t="shared" si="102"/>
        <v>0</v>
      </c>
    </row>
    <row r="55" spans="1:68">
      <c r="A55" t="s">
        <v>364</v>
      </c>
      <c r="B55" s="15">
        <f>CCOMP</f>
        <v>2.2e-7</v>
      </c>
      <c r="C55" s="16" t="s">
        <v>258</v>
      </c>
      <c r="E55" t="s">
        <v>365</v>
      </c>
      <c r="N55" s="7">
        <v>37</v>
      </c>
      <c r="O55" s="18">
        <f t="shared" si="62"/>
        <v>23.4422881531992</v>
      </c>
      <c r="P55" s="86" t="str">
        <f t="shared" si="50"/>
        <v>60</v>
      </c>
      <c r="Q55" s="4" t="str">
        <f t="shared" si="51"/>
        <v>1+0,192461860908045i</v>
      </c>
      <c r="R55" s="4">
        <f t="shared" si="63"/>
        <v>1.01835237904381</v>
      </c>
      <c r="S55" s="4">
        <f t="shared" si="64"/>
        <v>0.19013695410062</v>
      </c>
      <c r="T55" s="4" t="str">
        <f t="shared" si="52"/>
        <v>1+0,00230954233089654i</v>
      </c>
      <c r="U55" s="4">
        <f t="shared" si="65"/>
        <v>1.00000266698933</v>
      </c>
      <c r="V55" s="4">
        <f t="shared" si="66"/>
        <v>0.00230953822455437</v>
      </c>
      <c r="W55" t="str">
        <f t="shared" si="53"/>
        <v>1-0,00322201776073737i</v>
      </c>
      <c r="X55" s="4">
        <f t="shared" si="67"/>
        <v>1.00000519068575</v>
      </c>
      <c r="Y55" s="4">
        <f t="shared" si="68"/>
        <v>-0.00322200661112342</v>
      </c>
      <c r="Z55" t="str">
        <f t="shared" si="54"/>
        <v>0,999999995513952+0,000859705730211907i</v>
      </c>
      <c r="AA55" s="4">
        <f t="shared" si="69"/>
        <v>1.00000036506086</v>
      </c>
      <c r="AB55" s="4">
        <f t="shared" si="70"/>
        <v>0.00085970552226758</v>
      </c>
      <c r="AC55" s="67" t="str">
        <f t="shared" si="71"/>
        <v>57,8374989964216-11,2378438626855i</v>
      </c>
      <c r="AD55" s="68">
        <f t="shared" si="72"/>
        <v>35.4051284412099</v>
      </c>
      <c r="AE55" s="31">
        <f t="shared" si="73"/>
        <v>-10.9955830849778</v>
      </c>
      <c r="AF55" s="32" t="str">
        <f t="shared" si="74"/>
        <v>326,048966736478</v>
      </c>
      <c r="AG55" s="32" t="str">
        <f t="shared" si="55"/>
        <v>1+0,123725482012315i</v>
      </c>
      <c r="AH55" s="32">
        <f t="shared" si="75"/>
        <v>1.00762492768846</v>
      </c>
      <c r="AI55" s="32">
        <f t="shared" si="76"/>
        <v>0.123099888306393</v>
      </c>
      <c r="AJ55" s="32" t="str">
        <f t="shared" si="56"/>
        <v>1+0,00230954233089654i</v>
      </c>
      <c r="AK55" s="32">
        <f t="shared" si="77"/>
        <v>1.00000266698933</v>
      </c>
      <c r="AL55" s="32">
        <f t="shared" si="78"/>
        <v>0.00230953822455437</v>
      </c>
      <c r="AM55" s="32" t="str">
        <f t="shared" si="57"/>
        <v>1-0,000381154883704154i</v>
      </c>
      <c r="AN55" s="32">
        <f t="shared" si="79"/>
        <v>1.00000007263952</v>
      </c>
      <c r="AO55" s="32">
        <f t="shared" si="80"/>
        <v>-0.000381154865246216</v>
      </c>
      <c r="AP55" s="30" t="str">
        <f t="shared" si="81"/>
        <v>321,209965482298-39,1131090718318i</v>
      </c>
      <c r="AQ55" s="32">
        <f t="shared" si="82"/>
        <v>50.199702301149</v>
      </c>
      <c r="AR55" s="31">
        <f t="shared" si="83"/>
        <v>-6.94261583071656</v>
      </c>
      <c r="AS55" t="str">
        <f t="shared" si="58"/>
        <v>-0,000100699300699301</v>
      </c>
      <c r="AT55" t="str">
        <f t="shared" si="59"/>
        <v>0,0000330965664382943i</v>
      </c>
      <c r="AU55">
        <f t="shared" si="84"/>
        <v>3.30965664382943e-5</v>
      </c>
      <c r="AV55">
        <f t="shared" si="85"/>
        <v>1.5707963267949</v>
      </c>
      <c r="AW55" t="str">
        <f t="shared" si="60"/>
        <v>1+0,00169448349652359i</v>
      </c>
      <c r="AX55">
        <f t="shared" si="86"/>
        <v>1.00000143563613</v>
      </c>
      <c r="AY55">
        <f t="shared" si="87"/>
        <v>0.00169448187475073</v>
      </c>
      <c r="AZ55" t="str">
        <f t="shared" si="61"/>
        <v>1+0,081010732269968i</v>
      </c>
      <c r="BA55">
        <f t="shared" si="88"/>
        <v>1.00327600327274</v>
      </c>
      <c r="BB55">
        <f t="shared" si="89"/>
        <v>0.0808342094106687</v>
      </c>
      <c r="BC55" s="30" t="str">
        <f t="shared" si="90"/>
        <v>-0,241326177064501+3,04299948581473i</v>
      </c>
      <c r="BD55" s="32">
        <f t="shared" si="91"/>
        <v>9.69326630237596</v>
      </c>
      <c r="BE55" s="31">
        <f t="shared" si="92"/>
        <v>94.5343723796234</v>
      </c>
      <c r="BF55" s="30" t="str">
        <f t="shared" si="93"/>
        <v>20,2390505720399+178,711465604751i</v>
      </c>
      <c r="BG55" s="68">
        <f t="shared" si="94"/>
        <v>45.0983947435859</v>
      </c>
      <c r="BH55" s="31">
        <f t="shared" si="95"/>
        <v>83.5387892946456</v>
      </c>
      <c r="BI55" s="30" t="str">
        <f t="shared" si="103"/>
        <v>41,5047977893363+986,880776886612i</v>
      </c>
      <c r="BJ55" s="68">
        <f t="shared" si="97"/>
        <v>59.892968603525</v>
      </c>
      <c r="BK55" s="31">
        <f t="shared" si="104"/>
        <v>87.5917565489068</v>
      </c>
      <c r="BL55" s="32">
        <f t="shared" si="99"/>
        <v>45.0983947435859</v>
      </c>
      <c r="BM55" s="31">
        <f t="shared" si="100"/>
        <v>83.5387892946456</v>
      </c>
      <c r="BO55">
        <f t="shared" si="101"/>
        <v>0</v>
      </c>
      <c r="BP55">
        <f t="shared" si="102"/>
        <v>0</v>
      </c>
    </row>
    <row r="56" spans="1:68">
      <c r="A56" t="s">
        <v>367</v>
      </c>
      <c r="B56" s="15">
        <f>CHF</f>
        <v>4.7e-9</v>
      </c>
      <c r="C56" s="16" t="s">
        <v>258</v>
      </c>
      <c r="E56" t="s">
        <v>368</v>
      </c>
      <c r="N56" s="7">
        <v>38</v>
      </c>
      <c r="O56" s="18">
        <f t="shared" si="62"/>
        <v>23.9883291901949</v>
      </c>
      <c r="P56" s="86" t="str">
        <f t="shared" si="50"/>
        <v>60</v>
      </c>
      <c r="Q56" s="4" t="str">
        <f t="shared" si="51"/>
        <v>1+0,196944873548517i</v>
      </c>
      <c r="R56" s="4">
        <f t="shared" si="63"/>
        <v>1.01920914596418</v>
      </c>
      <c r="S56" s="4">
        <f t="shared" si="64"/>
        <v>0.194456219788233</v>
      </c>
      <c r="T56" s="4" t="str">
        <f t="shared" si="52"/>
        <v>1+0,0023633384825822i</v>
      </c>
      <c r="U56" s="4">
        <f t="shared" si="65"/>
        <v>1.00000279268049</v>
      </c>
      <c r="V56" s="4">
        <f t="shared" si="66"/>
        <v>0.00236333408255795</v>
      </c>
      <c r="W56" t="str">
        <f t="shared" si="53"/>
        <v>1-0,00329706819556669i</v>
      </c>
      <c r="X56" s="4">
        <f t="shared" si="67"/>
        <v>1.00000543531457</v>
      </c>
      <c r="Y56" s="4">
        <f t="shared" si="68"/>
        <v>-0.00329705624854361</v>
      </c>
      <c r="Z56" t="str">
        <f t="shared" si="54"/>
        <v>0,999999995302531+0,000879730849149457i</v>
      </c>
      <c r="AA56" s="4">
        <f t="shared" si="69"/>
        <v>1.00000038226564</v>
      </c>
      <c r="AB56" s="4">
        <f t="shared" si="70"/>
        <v>0.000879730626333101</v>
      </c>
      <c r="AC56" s="67" t="str">
        <f t="shared" si="71"/>
        <v>57,7393888856965-11,4802846044363i</v>
      </c>
      <c r="AD56" s="68">
        <f t="shared" si="72"/>
        <v>35.3978269108706</v>
      </c>
      <c r="AE56" s="31">
        <f t="shared" si="73"/>
        <v>-11.2454238852801</v>
      </c>
      <c r="AF56" s="32" t="str">
        <f t="shared" si="74"/>
        <v>326,048966736478</v>
      </c>
      <c r="AG56" s="32" t="str">
        <f t="shared" si="55"/>
        <v>1+0,126607418709761i</v>
      </c>
      <c r="AH56" s="32">
        <f t="shared" si="75"/>
        <v>1.00798285623931</v>
      </c>
      <c r="AI56" s="32">
        <f t="shared" si="76"/>
        <v>0.125937369366</v>
      </c>
      <c r="AJ56" s="32" t="str">
        <f t="shared" si="56"/>
        <v>1+0,0023633384825822i</v>
      </c>
      <c r="AK56" s="32">
        <f t="shared" si="77"/>
        <v>1.00000279268049</v>
      </c>
      <c r="AL56" s="32">
        <f t="shared" si="78"/>
        <v>0.00236333408255795</v>
      </c>
      <c r="AM56" s="32" t="str">
        <f t="shared" si="57"/>
        <v>1-0,000390033121468048i</v>
      </c>
      <c r="AN56" s="32">
        <f t="shared" si="79"/>
        <v>1.00000007606292</v>
      </c>
      <c r="AO56" s="32">
        <f t="shared" si="80"/>
        <v>-0.000390033101690012</v>
      </c>
      <c r="AP56" s="30" t="str">
        <f t="shared" si="81"/>
        <v>320,985508301739-39,9957524752769i</v>
      </c>
      <c r="AQ56" s="32">
        <f t="shared" si="82"/>
        <v>50.196618568565</v>
      </c>
      <c r="AR56" s="31">
        <f t="shared" si="83"/>
        <v>-7.10261792973917</v>
      </c>
      <c r="AS56" t="str">
        <f t="shared" si="58"/>
        <v>-0,000100699300699301</v>
      </c>
      <c r="AT56" t="str">
        <f t="shared" si="59"/>
        <v>0,000033867484504861i</v>
      </c>
      <c r="AU56">
        <f t="shared" si="84"/>
        <v>3.3867484504861e-5</v>
      </c>
      <c r="AV56">
        <f t="shared" si="85"/>
        <v>1.5707963267949</v>
      </c>
      <c r="AW56" t="str">
        <f t="shared" si="60"/>
        <v>1+0,00173395308752798i</v>
      </c>
      <c r="AX56">
        <f t="shared" si="86"/>
        <v>1.00000150329552</v>
      </c>
      <c r="AY56">
        <f t="shared" si="87"/>
        <v>0.0017339513497672</v>
      </c>
      <c r="AZ56" t="str">
        <f t="shared" si="61"/>
        <v>1+0,0828977146313909i</v>
      </c>
      <c r="BA56">
        <f t="shared" si="88"/>
        <v>1.00343013264059</v>
      </c>
      <c r="BB56">
        <f t="shared" si="89"/>
        <v>0.0827086018835673</v>
      </c>
      <c r="BC56" s="30" t="str">
        <f t="shared" si="90"/>
        <v>-0,241326144408585+2,97375119410543i</v>
      </c>
      <c r="BD56" s="32">
        <f t="shared" si="91"/>
        <v>9.4945999914559</v>
      </c>
      <c r="BE56" s="31">
        <f t="shared" si="92"/>
        <v>94.6395057231335</v>
      </c>
      <c r="BF56" s="30" t="str">
        <f t="shared" si="93"/>
        <v>20,2054859508196+174,47306946606i</v>
      </c>
      <c r="BG56" s="68">
        <f t="shared" si="94"/>
        <v>44.8924269023265</v>
      </c>
      <c r="BH56" s="31">
        <f t="shared" si="95"/>
        <v>83.3940818378534</v>
      </c>
      <c r="BI56" s="30" t="str">
        <f t="shared" si="103"/>
        <v>41,4752215530114+964,183059340413i</v>
      </c>
      <c r="BJ56" s="68">
        <f t="shared" si="97"/>
        <v>59.6912185600209</v>
      </c>
      <c r="BK56" s="31">
        <f t="shared" si="104"/>
        <v>87.5368877933943</v>
      </c>
      <c r="BL56" s="32">
        <f t="shared" si="99"/>
        <v>44.8924269023265</v>
      </c>
      <c r="BM56" s="31">
        <f t="shared" si="100"/>
        <v>83.3940818378534</v>
      </c>
      <c r="BO56">
        <f t="shared" si="101"/>
        <v>0</v>
      </c>
      <c r="BP56">
        <f t="shared" si="102"/>
        <v>0</v>
      </c>
    </row>
    <row r="57" spans="1:68">
      <c r="N57" s="7">
        <v>39</v>
      </c>
      <c r="O57" s="18">
        <f t="shared" si="62"/>
        <v>24.5470891568503</v>
      </c>
      <c r="P57" s="86" t="str">
        <f t="shared" si="50"/>
        <v>60</v>
      </c>
      <c r="Q57" s="4" t="str">
        <f t="shared" si="51"/>
        <v>1+0,201532308967816i</v>
      </c>
      <c r="R57" s="4">
        <f t="shared" si="63"/>
        <v>1.02010551981543</v>
      </c>
      <c r="S57" s="4">
        <f t="shared" si="64"/>
        <v>0.198868498753898</v>
      </c>
      <c r="T57" s="4" t="str">
        <f t="shared" si="52"/>
        <v>1+0,00241838770761379i</v>
      </c>
      <c r="U57" s="4">
        <f t="shared" si="65"/>
        <v>1.00000292429528</v>
      </c>
      <c r="V57" s="4">
        <f t="shared" si="66"/>
        <v>0.00241838299290361</v>
      </c>
      <c r="W57" t="str">
        <f t="shared" si="53"/>
        <v>1-0,00337386677959514i</v>
      </c>
      <c r="X57" s="4">
        <f t="shared" si="67"/>
        <v>1.00000569147233</v>
      </c>
      <c r="Y57" s="4">
        <f t="shared" si="68"/>
        <v>-0.0033738539781332</v>
      </c>
      <c r="Z57" t="str">
        <f t="shared" si="54"/>
        <v>0,999999995081146+0,000900222413027835i</v>
      </c>
      <c r="AA57" s="4">
        <f t="shared" si="69"/>
        <v>1.00000040028126</v>
      </c>
      <c r="AB57" s="4">
        <f t="shared" si="70"/>
        <v>0.000900222174275813</v>
      </c>
      <c r="AC57" s="67" t="str">
        <f t="shared" si="71"/>
        <v>57,637007798625-11,7270617040469i</v>
      </c>
      <c r="AD57" s="68">
        <f t="shared" si="72"/>
        <v>35.3901944153135</v>
      </c>
      <c r="AE57" s="31">
        <f t="shared" si="73"/>
        <v>-11.5006490428119</v>
      </c>
      <c r="AF57" s="32" t="str">
        <f t="shared" si="74"/>
        <v>326,048966736478</v>
      </c>
      <c r="AG57" s="32" t="str">
        <f t="shared" si="55"/>
        <v>1+0,129556484336453i</v>
      </c>
      <c r="AH57" s="32">
        <f t="shared" si="75"/>
        <v>1.00835751726936</v>
      </c>
      <c r="AI57" s="32">
        <f t="shared" si="76"/>
        <v>0.128838834529347</v>
      </c>
      <c r="AJ57" s="32" t="str">
        <f t="shared" si="56"/>
        <v>1+0,00241838770761379i</v>
      </c>
      <c r="AK57" s="32">
        <f t="shared" si="77"/>
        <v>1.00000292429528</v>
      </c>
      <c r="AL57" s="32">
        <f t="shared" si="78"/>
        <v>0.00241838299290361</v>
      </c>
      <c r="AM57" s="32" t="str">
        <f t="shared" si="57"/>
        <v>1-0,000399118159955641i</v>
      </c>
      <c r="AN57" s="32">
        <f t="shared" si="79"/>
        <v>1.00000007964765</v>
      </c>
      <c r="AO57" s="32">
        <f t="shared" si="80"/>
        <v>-0.000399118138763093</v>
      </c>
      <c r="AP57" s="30" t="str">
        <f t="shared" si="81"/>
        <v>320,750814171032-40,8969670824774i</v>
      </c>
      <c r="AQ57" s="32">
        <f t="shared" si="82"/>
        <v>50.1933918509734</v>
      </c>
      <c r="AR57" s="31">
        <f t="shared" si="83"/>
        <v>-7.26622610205462</v>
      </c>
      <c r="AS57" t="str">
        <f t="shared" si="58"/>
        <v>-0,000100699300699301</v>
      </c>
      <c r="AT57" t="str">
        <f t="shared" si="59"/>
        <v>0,0000346563595600013i</v>
      </c>
      <c r="AU57">
        <f t="shared" si="84"/>
        <v>3.46563595600013e-5</v>
      </c>
      <c r="AV57">
        <f t="shared" si="85"/>
        <v>1.5707963267949</v>
      </c>
      <c r="AW57" t="str">
        <f t="shared" si="60"/>
        <v>1+0,00177434204341096i</v>
      </c>
      <c r="AX57">
        <f t="shared" si="86"/>
        <v>1.0000015741436</v>
      </c>
      <c r="AY57">
        <f t="shared" si="87"/>
        <v>0.00177434018136689</v>
      </c>
      <c r="AZ57" t="str">
        <f t="shared" si="61"/>
        <v>1+0,0848286504583919i</v>
      </c>
      <c r="BA57">
        <f t="shared" si="88"/>
        <v>1.00359150053126</v>
      </c>
      <c r="BB57">
        <f t="shared" si="89"/>
        <v>0.0846260516432649</v>
      </c>
      <c r="BC57" s="30" t="str">
        <f t="shared" si="90"/>
        <v>-0,241326110213652+2,90607962463616i</v>
      </c>
      <c r="BD57" s="32">
        <f t="shared" si="91"/>
        <v>9.29599609614283</v>
      </c>
      <c r="BE57" s="31">
        <f t="shared" si="92"/>
        <v>94.7470533922024</v>
      </c>
      <c r="BF57" s="30" t="str">
        <f t="shared" si="93"/>
        <v>20,1704601785856+170,327780173853i</v>
      </c>
      <c r="BG57" s="68">
        <f t="shared" si="94"/>
        <v>44.6861905114563</v>
      </c>
      <c r="BH57" s="31">
        <f t="shared" si="95"/>
        <v>83.2464043493905</v>
      </c>
      <c r="BI57" s="30" t="str">
        <f t="shared" si="103"/>
        <v>41,4442964160463+941,996911633446i</v>
      </c>
      <c r="BJ57" s="68">
        <f t="shared" si="97"/>
        <v>59.4893879471163</v>
      </c>
      <c r="BK57" s="31">
        <f t="shared" si="104"/>
        <v>87.4808272901478</v>
      </c>
      <c r="BL57" s="32">
        <f t="shared" si="99"/>
        <v>44.6861905114563</v>
      </c>
      <c r="BM57" s="31">
        <f t="shared" si="100"/>
        <v>83.2464043493905</v>
      </c>
      <c r="BO57">
        <f t="shared" si="101"/>
        <v>0</v>
      </c>
      <c r="BP57">
        <f t="shared" si="102"/>
        <v>0</v>
      </c>
    </row>
    <row r="58" spans="1:68">
      <c r="A58" t="s">
        <v>504</v>
      </c>
      <c r="B58" s="12">
        <f>-(RFBB*gm_ea)/(RFBB+RFBT)</f>
        <v>-0.000100699300699301</v>
      </c>
      <c r="C58" t="s">
        <v>244</v>
      </c>
      <c r="N58" s="7">
        <v>40</v>
      </c>
      <c r="O58" s="18">
        <f t="shared" si="62"/>
        <v>25.1188643150958</v>
      </c>
      <c r="P58" s="86" t="str">
        <f t="shared" si="50"/>
        <v>60</v>
      </c>
      <c r="Q58" s="4" t="str">
        <f t="shared" si="51"/>
        <v>1+0,206226599484927i</v>
      </c>
      <c r="R58" s="4">
        <f t="shared" si="63"/>
        <v>1.0210432950346</v>
      </c>
      <c r="S58" s="4">
        <f t="shared" si="64"/>
        <v>0.203375442925247</v>
      </c>
      <c r="T58" s="4" t="str">
        <f t="shared" si="52"/>
        <v>1+0,00247471919381912i</v>
      </c>
      <c r="U58" s="4">
        <f t="shared" si="65"/>
        <v>1.00000306211286</v>
      </c>
      <c r="V58" s="4">
        <f t="shared" si="66"/>
        <v>0.00247471414191698</v>
      </c>
      <c r="W58" t="str">
        <f t="shared" si="53"/>
        <v>1-0,00345245423244855i</v>
      </c>
      <c r="X58" s="4">
        <f t="shared" si="67"/>
        <v>1.00000595970235</v>
      </c>
      <c r="Y58" s="4">
        <f t="shared" si="68"/>
        <v>-0.00345244051543936</v>
      </c>
      <c r="Z58" t="str">
        <f t="shared" si="54"/>
        <v>0,999999994849328+0,000921191286745457i</v>
      </c>
      <c r="AA58" s="4">
        <f t="shared" si="69"/>
        <v>1.00000041914593</v>
      </c>
      <c r="AB58" s="4">
        <f t="shared" si="70"/>
        <v>0.000921191030918062</v>
      </c>
      <c r="AC58" s="67" t="str">
        <f t="shared" si="71"/>
        <v>57,5301864524723-11,9781906757674i</v>
      </c>
      <c r="AD58" s="68">
        <f t="shared" si="72"/>
        <v>35.3822165742371</v>
      </c>
      <c r="AE58" s="31">
        <f t="shared" si="73"/>
        <v>-11.7613544891388</v>
      </c>
      <c r="AF58" s="32" t="str">
        <f t="shared" si="74"/>
        <v>326,048966736478</v>
      </c>
      <c r="AG58" s="32" t="str">
        <f t="shared" si="55"/>
        <v>1+0,132574242526024i</v>
      </c>
      <c r="AH58" s="32">
        <f t="shared" si="75"/>
        <v>1.00874968638476</v>
      </c>
      <c r="AI58" s="32">
        <f t="shared" si="76"/>
        <v>0.131805626679765</v>
      </c>
      <c r="AJ58" s="32" t="str">
        <f t="shared" si="56"/>
        <v>1+0,00247471919381912i</v>
      </c>
      <c r="AK58" s="32">
        <f t="shared" si="77"/>
        <v>1.00000306211286</v>
      </c>
      <c r="AL58" s="32">
        <f t="shared" si="78"/>
        <v>0.00247471414191698</v>
      </c>
      <c r="AM58" s="32" t="str">
        <f t="shared" si="57"/>
        <v>1-0,000408414816174598i</v>
      </c>
      <c r="AN58" s="32">
        <f t="shared" si="79"/>
        <v>1.00000008340133</v>
      </c>
      <c r="AO58" s="32">
        <f t="shared" si="80"/>
        <v>-0.000408414793466374</v>
      </c>
      <c r="AP58" s="30" t="str">
        <f t="shared" si="81"/>
        <v>320,50543274007-41,8170485636963i</v>
      </c>
      <c r="AQ58" s="32">
        <f t="shared" si="82"/>
        <v>50.1900156322918</v>
      </c>
      <c r="AR58" s="31">
        <f t="shared" si="83"/>
        <v>-7.43351589295064</v>
      </c>
      <c r="AS58" t="str">
        <f t="shared" si="58"/>
        <v>-0,000100699300699301</v>
      </c>
      <c r="AT58" t="str">
        <f t="shared" si="59"/>
        <v>0,0000354636098757114i</v>
      </c>
      <c r="AU58">
        <f t="shared" si="84"/>
        <v>3.54636098757114e-5</v>
      </c>
      <c r="AV58">
        <f t="shared" si="85"/>
        <v>1.5707963267949</v>
      </c>
      <c r="AW58" t="str">
        <f t="shared" si="60"/>
        <v>1+0,00181567177893155i</v>
      </c>
      <c r="AX58">
        <f t="shared" si="86"/>
        <v>1.00000164833065</v>
      </c>
      <c r="AY58">
        <f t="shared" si="87"/>
        <v>0.00181566978371556</v>
      </c>
      <c r="AZ58" t="str">
        <f t="shared" si="61"/>
        <v>1+0,0868045635587063i</v>
      </c>
      <c r="BA58">
        <f t="shared" si="88"/>
        <v>1.00376044565156</v>
      </c>
      <c r="BB58">
        <f t="shared" si="89"/>
        <v>0.0865875189178679</v>
      </c>
      <c r="BC58" s="30" t="str">
        <f t="shared" si="90"/>
        <v>-0,241326074407173+2,83994889704467i</v>
      </c>
      <c r="BD58" s="32">
        <f t="shared" si="91"/>
        <v>9.09745751592816</v>
      </c>
      <c r="BE58" s="31">
        <f t="shared" si="92"/>
        <v>94.8570691769067</v>
      </c>
      <c r="BF58" s="30" t="str">
        <f t="shared" si="93"/>
        <v>20,1339153417485+166,273439296756i</v>
      </c>
      <c r="BG58" s="68">
        <f t="shared" si="94"/>
        <v>44.4796740901652</v>
      </c>
      <c r="BH58" s="31">
        <f t="shared" si="95"/>
        <v>83.0957146877678</v>
      </c>
      <c r="BI58" s="30" t="str">
        <f t="shared" si="103"/>
        <v>41,4119630367994+920,310594380157i</v>
      </c>
      <c r="BJ58" s="68">
        <f t="shared" si="97"/>
        <v>59.28747314822</v>
      </c>
      <c r="BK58" s="31">
        <f t="shared" si="104"/>
        <v>87.423553283956</v>
      </c>
      <c r="BL58" s="32">
        <f t="shared" si="99"/>
        <v>44.4796740901652</v>
      </c>
      <c r="BM58" s="31">
        <f t="shared" si="100"/>
        <v>83.0957146877678</v>
      </c>
      <c r="BO58">
        <f t="shared" si="101"/>
        <v>0</v>
      </c>
      <c r="BP58">
        <f t="shared" si="102"/>
        <v>0</v>
      </c>
    </row>
    <row r="59" spans="1:68">
      <c r="A59" t="s">
        <v>449</v>
      </c>
      <c r="B59" s="12">
        <f>1/(RCOMP*CCOMP)</f>
        <v>1818.18181818182</v>
      </c>
      <c r="E59" t="s">
        <v>505</v>
      </c>
      <c r="N59" s="7">
        <v>41</v>
      </c>
      <c r="O59" s="18">
        <f t="shared" si="62"/>
        <v>25.7039578276886</v>
      </c>
      <c r="P59" s="86" t="str">
        <f t="shared" si="50"/>
        <v>60</v>
      </c>
      <c r="Q59" s="4" t="str">
        <f t="shared" si="51"/>
        <v>1+0,211030234074815i</v>
      </c>
      <c r="R59" s="4">
        <f t="shared" si="63"/>
        <v>1.0220243439829</v>
      </c>
      <c r="S59" s="4">
        <f t="shared" si="64"/>
        <v>0.207978709217346</v>
      </c>
      <c r="T59" s="4" t="str">
        <f t="shared" si="52"/>
        <v>1+0,00253236280889778i</v>
      </c>
      <c r="U59" s="4">
        <f t="shared" si="65"/>
        <v>1.00000320642556</v>
      </c>
      <c r="V59" s="4">
        <f t="shared" si="66"/>
        <v>0.00253235739568804</v>
      </c>
      <c r="W59" t="str">
        <f t="shared" si="53"/>
        <v>1-0,00353287222223462i</v>
      </c>
      <c r="X59" s="4">
        <f t="shared" si="67"/>
        <v>1.0000062405736</v>
      </c>
      <c r="Y59" s="4">
        <f t="shared" si="68"/>
        <v>-0.00353285752419942</v>
      </c>
      <c r="Z59" t="str">
        <f t="shared" si="54"/>
        <v>0,999999994606584+0,000942648588276715i</v>
      </c>
      <c r="AA59" s="4">
        <f t="shared" si="69"/>
        <v>1.00000043889967</v>
      </c>
      <c r="AB59" s="4">
        <f t="shared" si="70"/>
        <v>0.000942648314152729</v>
      </c>
      <c r="AC59" s="67" t="str">
        <f t="shared" si="71"/>
        <v>57,418750389043-12,2336822183188i</v>
      </c>
      <c r="AD59" s="68">
        <f t="shared" si="72"/>
        <v>35.3738784399023</v>
      </c>
      <c r="AE59" s="31">
        <f t="shared" si="73"/>
        <v>-12.0276364714646</v>
      </c>
      <c r="AF59" s="32" t="str">
        <f t="shared" si="74"/>
        <v>326,048966736478</v>
      </c>
      <c r="AG59" s="32" t="str">
        <f t="shared" si="55"/>
        <v>1+0,13566229333381i</v>
      </c>
      <c r="AH59" s="32">
        <f t="shared" si="75"/>
        <v>1.0091601745177</v>
      </c>
      <c r="AI59" s="32">
        <f t="shared" si="76"/>
        <v>0.134839109832696</v>
      </c>
      <c r="AJ59" s="32" t="str">
        <f t="shared" si="56"/>
        <v>1+0,00253236280889778i</v>
      </c>
      <c r="AK59" s="32">
        <f t="shared" si="77"/>
        <v>1.00000320642556</v>
      </c>
      <c r="AL59" s="32">
        <f t="shared" si="78"/>
        <v>0.00253235739568804</v>
      </c>
      <c r="AM59" s="32" t="str">
        <f t="shared" si="57"/>
        <v>1-0,000417928019335098i</v>
      </c>
      <c r="AN59" s="32">
        <f t="shared" si="79"/>
        <v>1.00000008733191</v>
      </c>
      <c r="AO59" s="32">
        <f t="shared" si="80"/>
        <v>-0.000417927995002798</v>
      </c>
      <c r="AP59" s="30" t="str">
        <f t="shared" si="81"/>
        <v>320,248895410898-42,7562903106933i</v>
      </c>
      <c r="AQ59" s="32">
        <f t="shared" si="82"/>
        <v>50.1864831102627</v>
      </c>
      <c r="AR59" s="31">
        <f t="shared" si="83"/>
        <v>-7.6045640259768</v>
      </c>
      <c r="AS59" t="str">
        <f t="shared" si="58"/>
        <v>-0,000100699300699301</v>
      </c>
      <c r="AT59" t="str">
        <f t="shared" si="59"/>
        <v>0,000036289663466794i</v>
      </c>
      <c r="AU59">
        <f t="shared" si="84"/>
        <v>3.6289663466794e-5</v>
      </c>
      <c r="AV59">
        <f t="shared" si="85"/>
        <v>1.5707963267949</v>
      </c>
      <c r="AW59" t="str">
        <f t="shared" si="60"/>
        <v>1+0,00185796420766258i</v>
      </c>
      <c r="AX59">
        <f t="shared" si="86"/>
        <v>1.00000172601401</v>
      </c>
      <c r="AY59">
        <f t="shared" si="87"/>
        <v>0.00185796206975033</v>
      </c>
      <c r="AZ59" t="str">
        <f t="shared" si="61"/>
        <v>1+0,0888265015876133i</v>
      </c>
      <c r="BA59">
        <f t="shared" si="88"/>
        <v>1.00393732243816</v>
      </c>
      <c r="BB59">
        <f t="shared" si="89"/>
        <v>0.0885939832980965</v>
      </c>
      <c r="BC59" s="30" t="str">
        <f t="shared" si="90"/>
        <v>-0,241326036913196+2,77532394794342i</v>
      </c>
      <c r="BD59" s="32">
        <f t="shared" si="91"/>
        <v>8.8989872829392</v>
      </c>
      <c r="BE59" s="31">
        <f t="shared" si="92"/>
        <v>94.9696079481413</v>
      </c>
      <c r="BF59" s="30" t="str">
        <f t="shared" si="93"/>
        <v>20,095791756134+162,307939062299i</v>
      </c>
      <c r="BG59" s="68">
        <f t="shared" si="94"/>
        <v>44.2728657228415</v>
      </c>
      <c r="BH59" s="31">
        <f t="shared" si="95"/>
        <v>82.9419714766767</v>
      </c>
      <c r="BI59" s="30" t="str">
        <f t="shared" si="103"/>
        <v>41,3781596691477+899,112634830083i</v>
      </c>
      <c r="BJ59" s="68">
        <f t="shared" si="97"/>
        <v>59.0854703932019</v>
      </c>
      <c r="BK59" s="31">
        <f t="shared" si="104"/>
        <v>87.3650439221645</v>
      </c>
      <c r="BL59" s="32">
        <f t="shared" si="99"/>
        <v>44.2728657228415</v>
      </c>
      <c r="BM59" s="31">
        <f t="shared" si="100"/>
        <v>82.9419714766767</v>
      </c>
      <c r="BO59">
        <f t="shared" si="101"/>
        <v>0</v>
      </c>
      <c r="BP59">
        <f t="shared" si="102"/>
        <v>0</v>
      </c>
    </row>
    <row r="60" spans="1:68">
      <c r="A60" t="s">
        <v>447</v>
      </c>
      <c r="B60" s="12">
        <f>(CCOMP+CHF)</f>
        <v>2.247e-7</v>
      </c>
      <c r="E60" t="s">
        <v>506</v>
      </c>
      <c r="N60" s="7">
        <v>42</v>
      </c>
      <c r="O60" s="18">
        <f t="shared" si="62"/>
        <v>26.3026799189538</v>
      </c>
      <c r="P60" s="86" t="str">
        <f t="shared" si="50"/>
        <v>60</v>
      </c>
      <c r="Q60" s="4" t="str">
        <f t="shared" si="51"/>
        <v>1+0,215945759688125i</v>
      </c>
      <c r="R60" s="4">
        <f t="shared" si="63"/>
        <v>1.02305062002194</v>
      </c>
      <c r="S60" s="4">
        <f t="shared" si="64"/>
        <v>0.212679957629419</v>
      </c>
      <c r="T60" s="4" t="str">
        <f t="shared" si="52"/>
        <v>1+0,0025913491162575i</v>
      </c>
      <c r="U60" s="4">
        <f t="shared" si="65"/>
        <v>1.00000335753948</v>
      </c>
      <c r="V60" s="4">
        <f t="shared" si="66"/>
        <v>0.00259134331589981</v>
      </c>
      <c r="W60" t="str">
        <f t="shared" si="53"/>
        <v>1-0,00361516338763602i</v>
      </c>
      <c r="X60" s="4">
        <f t="shared" si="67"/>
        <v>1.00000653468181</v>
      </c>
      <c r="Y60" s="4">
        <f t="shared" si="68"/>
        <v>-0.00361514763841311</v>
      </c>
      <c r="Z60" t="str">
        <f t="shared" si="54"/>
        <v>0,9999999943524+0,000964605694566907i</v>
      </c>
      <c r="AA60" s="4">
        <f t="shared" si="69"/>
        <v>1.00000045958437</v>
      </c>
      <c r="AB60" s="4">
        <f t="shared" si="70"/>
        <v>0.000964605400837772</v>
      </c>
      <c r="AC60" s="67" t="str">
        <f t="shared" si="71"/>
        <v>57,3025199621517-12,4935418354129i</v>
      </c>
      <c r="AD60" s="68">
        <f t="shared" si="72"/>
        <v>35.3651644800255</v>
      </c>
      <c r="AE60" s="31">
        <f t="shared" si="73"/>
        <v>-12.2995914442777</v>
      </c>
      <c r="AF60" s="32" t="str">
        <f t="shared" si="74"/>
        <v>326,048966736478</v>
      </c>
      <c r="AG60" s="32" t="str">
        <f t="shared" si="55"/>
        <v>1+0,138822274085223i</v>
      </c>
      <c r="AH60" s="32">
        <f t="shared" si="75"/>
        <v>1.0095898294764</v>
      </c>
      <c r="AI60" s="32">
        <f t="shared" si="76"/>
        <v>0.137940668949666</v>
      </c>
      <c r="AJ60" s="32" t="str">
        <f t="shared" si="56"/>
        <v>1+0,0025913491162575i</v>
      </c>
      <c r="AK60" s="32">
        <f t="shared" si="77"/>
        <v>1.00000335753948</v>
      </c>
      <c r="AL60" s="32">
        <f t="shared" si="78"/>
        <v>0.00259134331589981</v>
      </c>
      <c r="AM60" s="32" t="str">
        <f t="shared" si="57"/>
        <v>1-0,00042766281346338i</v>
      </c>
      <c r="AN60" s="32">
        <f t="shared" si="79"/>
        <v>1.00000009144774</v>
      </c>
      <c r="AO60" s="32">
        <f t="shared" si="80"/>
        <v>-0.000427662787390851</v>
      </c>
      <c r="AP60" s="30" t="str">
        <f t="shared" si="81"/>
        <v>319,980714747581-43,7149828013064i</v>
      </c>
      <c r="AQ60" s="32">
        <f t="shared" si="82"/>
        <v>50.1827871849047</v>
      </c>
      <c r="AR60" s="31">
        <f t="shared" si="83"/>
        <v>-7.77944839152895</v>
      </c>
      <c r="AS60" t="str">
        <f t="shared" si="58"/>
        <v>-0,000100699300699301</v>
      </c>
      <c r="AT60" t="str">
        <f t="shared" si="59"/>
        <v>0,0000371349583177972i</v>
      </c>
      <c r="AU60">
        <f t="shared" si="84"/>
        <v>3.71349583177972e-5</v>
      </c>
      <c r="AV60">
        <f t="shared" si="85"/>
        <v>1.5707963267949</v>
      </c>
      <c r="AW60" t="str">
        <f t="shared" si="60"/>
        <v>1+0,00190124175360958i</v>
      </c>
      <c r="AX60">
        <f t="shared" si="86"/>
        <v>1.00000180735847</v>
      </c>
      <c r="AY60">
        <f t="shared" si="87"/>
        <v>0.00190123946279555</v>
      </c>
      <c r="AZ60" t="str">
        <f t="shared" si="61"/>
        <v>1+0,0908955366034198i</v>
      </c>
      <c r="BA60">
        <f t="shared" si="88"/>
        <v>1.00412250177676</v>
      </c>
      <c r="BB60">
        <f t="shared" si="89"/>
        <v>0.0906464439795119</v>
      </c>
      <c r="BC60" s="30" t="str">
        <f t="shared" si="90"/>
        <v>-0,241325997652197+2,71217051232856i</v>
      </c>
      <c r="BD60" s="32">
        <f t="shared" si="91"/>
        <v>8.70058856780977</v>
      </c>
      <c r="BE60" s="31">
        <f t="shared" si="92"/>
        <v>95.0847256708332</v>
      </c>
      <c r="BF60" s="30" t="str">
        <f t="shared" si="93"/>
        <v>20,0560279626989+158,429221371107i</v>
      </c>
      <c r="BG60" s="68">
        <f t="shared" si="94"/>
        <v>44.0657530478353</v>
      </c>
      <c r="BH60" s="31">
        <f t="shared" si="95"/>
        <v>82.7851342265555</v>
      </c>
      <c r="BI60" s="30" t="str">
        <f t="shared" si="103"/>
        <v>41,3428220847303+878,391820889079i</v>
      </c>
      <c r="BJ60" s="68">
        <f t="shared" si="97"/>
        <v>58.8833757527145</v>
      </c>
      <c r="BK60" s="31">
        <f t="shared" si="104"/>
        <v>87.3052772793042</v>
      </c>
      <c r="BL60" s="32">
        <f t="shared" si="99"/>
        <v>44.0657530478353</v>
      </c>
      <c r="BM60" s="31">
        <f t="shared" si="100"/>
        <v>82.7851342265555</v>
      </c>
      <c r="BO60">
        <f t="shared" si="101"/>
        <v>0</v>
      </c>
      <c r="BP60">
        <f t="shared" si="102"/>
        <v>0</v>
      </c>
    </row>
    <row r="61" spans="1:68">
      <c r="A61" t="s">
        <v>448</v>
      </c>
      <c r="B61" s="12">
        <f>(CCOMP+CHF)/(RCOMP*CHF*CCOMP)</f>
        <v>86924.5647969052</v>
      </c>
      <c r="E61" t="s">
        <v>507</v>
      </c>
      <c r="N61" s="7">
        <v>43</v>
      </c>
      <c r="O61" s="18">
        <f t="shared" si="62"/>
        <v>26.9153480392692</v>
      </c>
      <c r="P61" s="86" t="str">
        <f t="shared" si="50"/>
        <v>60</v>
      </c>
      <c r="Q61" s="4" t="str">
        <f t="shared" si="51"/>
        <v>1+0,220975782601602i</v>
      </c>
      <c r="R61" s="4">
        <f t="shared" si="63"/>
        <v>1.02412416068385</v>
      </c>
      <c r="S61" s="4">
        <f t="shared" si="64"/>
        <v>0.217480849193951</v>
      </c>
      <c r="T61" s="4" t="str">
        <f t="shared" si="52"/>
        <v>1+0,00265170939121923i</v>
      </c>
      <c r="U61" s="4">
        <f t="shared" si="65"/>
        <v>1.00000351577517</v>
      </c>
      <c r="V61" s="4">
        <f t="shared" si="66"/>
        <v>0.00265170317602517</v>
      </c>
      <c r="W61" t="str">
        <f t="shared" si="53"/>
        <v>1-0,0036993713605179i</v>
      </c>
      <c r="X61" s="4">
        <f t="shared" si="67"/>
        <v>1.00000684265082</v>
      </c>
      <c r="Y61" s="4">
        <f t="shared" si="68"/>
        <v>-0.00369935448492775</v>
      </c>
      <c r="Z61" t="str">
        <f t="shared" si="54"/>
        <v>0,999999994086237+0,000987074247564427i</v>
      </c>
      <c r="AA61" s="4">
        <f t="shared" si="69"/>
        <v>1.00000048124391</v>
      </c>
      <c r="AB61" s="4">
        <f t="shared" si="70"/>
        <v>0.000987073932827996</v>
      </c>
      <c r="AC61" s="67" t="str">
        <f t="shared" si="71"/>
        <v>57,1813103416526-12,7577694390385i</v>
      </c>
      <c r="AD61" s="68">
        <f t="shared" si="72"/>
        <v>35.3560585606585</v>
      </c>
      <c r="AE61" s="31">
        <f t="shared" si="73"/>
        <v>-12.5773159525545</v>
      </c>
      <c r="AF61" s="32" t="str">
        <f t="shared" si="74"/>
        <v>326,048966736478</v>
      </c>
      <c r="AG61" s="32" t="str">
        <f t="shared" si="55"/>
        <v>1+0,142055860243887i</v>
      </c>
      <c r="AH61" s="32">
        <f t="shared" si="75"/>
        <v>1.01003953755763</v>
      </c>
      <c r="AI61" s="32">
        <f t="shared" si="76"/>
        <v>0.141111709704963</v>
      </c>
      <c r="AJ61" s="32" t="str">
        <f t="shared" si="56"/>
        <v>1+0,00265170939121923i</v>
      </c>
      <c r="AK61" s="32">
        <f t="shared" si="77"/>
        <v>1.00000351577517</v>
      </c>
      <c r="AL61" s="32">
        <f t="shared" si="78"/>
        <v>0.00265170317602517</v>
      </c>
      <c r="AM61" s="32" t="str">
        <f t="shared" si="57"/>
        <v>1-0,000437624360076149i</v>
      </c>
      <c r="AN61" s="32">
        <f t="shared" si="79"/>
        <v>1.00000009575754</v>
      </c>
      <c r="AO61" s="32">
        <f t="shared" si="80"/>
        <v>-0.000437624332138931</v>
      </c>
      <c r="AP61" s="30" t="str">
        <f t="shared" si="81"/>
        <v>319,700383881844-44,6934129159654i</v>
      </c>
      <c r="AQ61" s="32">
        <f t="shared" si="82"/>
        <v>50.1789204465943</v>
      </c>
      <c r="AR61" s="31">
        <f t="shared" si="83"/>
        <v>-7.95824803270579</v>
      </c>
      <c r="AS61" t="str">
        <f t="shared" si="58"/>
        <v>-0,000100699300699301</v>
      </c>
      <c r="AT61" t="str">
        <f t="shared" si="59"/>
        <v>0,0000379999426152399i</v>
      </c>
      <c r="AU61">
        <f t="shared" si="84"/>
        <v>3.79999426152399e-5</v>
      </c>
      <c r="AV61">
        <f t="shared" si="85"/>
        <v>1.5707963267949</v>
      </c>
      <c r="AW61" t="str">
        <f t="shared" si="60"/>
        <v>1+0,00194552736310026i</v>
      </c>
      <c r="AX61">
        <f t="shared" si="86"/>
        <v>1.00000189253657</v>
      </c>
      <c r="AY61">
        <f t="shared" si="87"/>
        <v>0.00194552490844906</v>
      </c>
      <c r="AZ61" t="str">
        <f t="shared" si="61"/>
        <v>1+0,0930127656358785i</v>
      </c>
      <c r="BA61">
        <f t="shared" si="88"/>
        <v>1.00431637175306</v>
      </c>
      <c r="BB61">
        <f t="shared" si="89"/>
        <v>0.0927459199961732</v>
      </c>
      <c r="BC61" s="30" t="str">
        <f t="shared" si="90"/>
        <v>-0,241325956540895+2,65045510541211i</v>
      </c>
      <c r="BD61" s="32">
        <f t="shared" si="91"/>
        <v>8.50226468579147</v>
      </c>
      <c r="BE61" s="31">
        <f t="shared" si="92"/>
        <v>95.202479416647</v>
      </c>
      <c r="BF61" s="30" t="str">
        <f t="shared" si="93"/>
        <v>20,0145607289091+154,635276842392i</v>
      </c>
      <c r="BG61" s="68">
        <f t="shared" si="94"/>
        <v>43.85832324645</v>
      </c>
      <c r="BH61" s="31">
        <f t="shared" si="95"/>
        <v>82.6251634640926</v>
      </c>
      <c r="BI61" s="30" t="str">
        <f t="shared" si="103"/>
        <v>41,3058834946347+858,137195284868i</v>
      </c>
      <c r="BJ61" s="68">
        <f t="shared" si="97"/>
        <v>58.6811851323857</v>
      </c>
      <c r="BK61" s="31">
        <f t="shared" si="104"/>
        <v>87.2442313839412</v>
      </c>
      <c r="BL61" s="32">
        <f t="shared" si="99"/>
        <v>43.85832324645</v>
      </c>
      <c r="BM61" s="31">
        <f t="shared" si="100"/>
        <v>82.6251634640926</v>
      </c>
      <c r="BO61">
        <f t="shared" si="101"/>
        <v>0</v>
      </c>
      <c r="BP61">
        <f t="shared" si="102"/>
        <v>0</v>
      </c>
    </row>
    <row r="62" spans="1:68">
      <c r="N62" s="7">
        <v>44</v>
      </c>
      <c r="O62" s="18">
        <f t="shared" si="62"/>
        <v>27.5422870333817</v>
      </c>
      <c r="P62" s="86" t="str">
        <f t="shared" si="50"/>
        <v>60</v>
      </c>
      <c r="Q62" s="4" t="str">
        <f t="shared" si="51"/>
        <v>1+0,226122969799975i</v>
      </c>
      <c r="R62" s="4">
        <f t="shared" si="63"/>
        <v>1.02524709093523</v>
      </c>
      <c r="S62" s="4">
        <f t="shared" si="64"/>
        <v>0.222383043771637</v>
      </c>
      <c r="T62" s="4" t="str">
        <f t="shared" si="52"/>
        <v>1+0,00271347563759971i</v>
      </c>
      <c r="U62" s="4">
        <f t="shared" si="65"/>
        <v>1.00000368146824</v>
      </c>
      <c r="V62" s="4">
        <f t="shared" si="66"/>
        <v>0.00271346897790062</v>
      </c>
      <c r="W62" t="str">
        <f t="shared" si="53"/>
        <v>1-0,00378554078906209i</v>
      </c>
      <c r="X62" s="4">
        <f t="shared" si="67"/>
        <v>1.00000716513386</v>
      </c>
      <c r="Y62" s="4">
        <f t="shared" si="68"/>
        <v>-0.00378552270654845</v>
      </c>
      <c r="Z62" t="str">
        <f t="shared" si="54"/>
        <v>0,99999999380753+0,00101006616039348i</v>
      </c>
      <c r="AA62" s="4">
        <f t="shared" si="69"/>
        <v>1.00000050392423</v>
      </c>
      <c r="AB62" s="4">
        <f t="shared" si="70"/>
        <v>0.00101006582314733</v>
      </c>
      <c r="AC62" s="67" t="str">
        <f t="shared" si="71"/>
        <v>57,0549315358056-13,0263589355371i</v>
      </c>
      <c r="AD62" s="68">
        <f t="shared" si="72"/>
        <v>35.3465439291115</v>
      </c>
      <c r="AE62" s="31">
        <f t="shared" si="73"/>
        <v>-12.8609065061474</v>
      </c>
      <c r="AF62" s="32" t="str">
        <f t="shared" si="74"/>
        <v>326,048966736478</v>
      </c>
      <c r="AG62" s="32" t="str">
        <f t="shared" si="55"/>
        <v>1+0,145364766299984i</v>
      </c>
      <c r="AH62" s="32">
        <f t="shared" si="75"/>
        <v>1.0105102252236</v>
      </c>
      <c r="AI62" s="32">
        <f t="shared" si="76"/>
        <v>0.144353658201467</v>
      </c>
      <c r="AJ62" s="32" t="str">
        <f t="shared" si="56"/>
        <v>1+0,00271347563759971i</v>
      </c>
      <c r="AK62" s="32">
        <f t="shared" si="77"/>
        <v>1.00000368146824</v>
      </c>
      <c r="AL62" s="32">
        <f t="shared" si="78"/>
        <v>0.00271346897790062</v>
      </c>
      <c r="AM62" s="32" t="str">
        <f t="shared" si="57"/>
        <v>1-0,000447817940917274i</v>
      </c>
      <c r="AN62" s="32">
        <f t="shared" si="79"/>
        <v>1.00000010027045</v>
      </c>
      <c r="AO62" s="32">
        <f t="shared" si="80"/>
        <v>-0.000447817910982005</v>
      </c>
      <c r="AP62" s="30" t="str">
        <f t="shared" si="81"/>
        <v>319,407375916223-45,691863203571i</v>
      </c>
      <c r="AQ62" s="32">
        <f t="shared" si="82"/>
        <v>50.1748751637763</v>
      </c>
      <c r="AR62" s="31">
        <f t="shared" si="83"/>
        <v>-8.14104312823434</v>
      </c>
      <c r="AS62" t="str">
        <f t="shared" si="58"/>
        <v>-0,000100699300699301</v>
      </c>
      <c r="AT62" t="str">
        <f t="shared" si="59"/>
        <v>0,0000388850749852457i</v>
      </c>
      <c r="AU62">
        <f t="shared" si="84"/>
        <v>3.88850749852457e-5</v>
      </c>
      <c r="AV62">
        <f t="shared" si="85"/>
        <v>1.5707963267949</v>
      </c>
      <c r="AW62" t="str">
        <f t="shared" si="60"/>
        <v>1+0,00199084451695096i</v>
      </c>
      <c r="AX62">
        <f t="shared" si="86"/>
        <v>1.00000198172898</v>
      </c>
      <c r="AY62">
        <f t="shared" si="87"/>
        <v>0.00199084188674509</v>
      </c>
      <c r="AZ62" t="str">
        <f t="shared" si="61"/>
        <v>1+0,0951793112678467i</v>
      </c>
      <c r="BA62">
        <f t="shared" si="88"/>
        <v>1.00451933843676</v>
      </c>
      <c r="BB62">
        <f t="shared" si="89"/>
        <v>0.0948934504445994</v>
      </c>
      <c r="BC62" s="30" t="str">
        <f t="shared" si="90"/>
        <v>-0,241325913492095+2,59014500486795i</v>
      </c>
      <c r="BD62" s="32">
        <f t="shared" si="91"/>
        <v>8.30401910311426</v>
      </c>
      <c r="BE62" s="31">
        <f t="shared" si="92"/>
        <v>95.322927376121</v>
      </c>
      <c r="BF62" s="30" t="str">
        <f t="shared" si="93"/>
        <v>19,9713250563912+150,924143890144i</v>
      </c>
      <c r="BG62" s="68">
        <f t="shared" si="94"/>
        <v>43.6505630322257</v>
      </c>
      <c r="BH62" s="31">
        <f t="shared" si="95"/>
        <v>82.4620208699735</v>
      </c>
      <c r="BI62" s="30" t="str">
        <f t="shared" si="103"/>
        <v>41,2672744707436+838,338049874142i</v>
      </c>
      <c r="BJ62" s="68">
        <f t="shared" si="97"/>
        <v>58.4788942668906</v>
      </c>
      <c r="BK62" s="31">
        <f t="shared" si="104"/>
        <v>87.1818842478867</v>
      </c>
      <c r="BL62" s="32">
        <f t="shared" si="99"/>
        <v>43.6505630322257</v>
      </c>
      <c r="BM62" s="31">
        <f t="shared" si="100"/>
        <v>82.4620208699735</v>
      </c>
      <c r="BO62">
        <f t="shared" si="101"/>
        <v>0</v>
      </c>
      <c r="BP62">
        <f t="shared" si="102"/>
        <v>0</v>
      </c>
    </row>
    <row r="63" spans="1:68">
      <c r="N63" s="7">
        <v>45</v>
      </c>
      <c r="O63" s="18">
        <f t="shared" si="62"/>
        <v>28.1838293126445</v>
      </c>
      <c r="P63" s="86" t="str">
        <f t="shared" si="50"/>
        <v>60</v>
      </c>
      <c r="Q63" s="4" t="str">
        <f t="shared" si="51"/>
        <v>1+0,231390050390026i</v>
      </c>
      <c r="R63" s="4">
        <f t="shared" si="63"/>
        <v>1.02642162653536</v>
      </c>
      <c r="S63" s="4">
        <f t="shared" si="64"/>
        <v>0.227388197685652</v>
      </c>
      <c r="T63" s="4" t="str">
        <f t="shared" si="52"/>
        <v>1+0,00277668060468032i</v>
      </c>
      <c r="U63" s="4">
        <f t="shared" si="65"/>
        <v>1.00000385497016</v>
      </c>
      <c r="V63" s="4">
        <f t="shared" si="66"/>
        <v>0.00277667346868566</v>
      </c>
      <c r="W63" t="str">
        <f t="shared" si="53"/>
        <v>1-0,00387371736144017i</v>
      </c>
      <c r="X63" s="4">
        <f t="shared" si="67"/>
        <v>1.00000750281495</v>
      </c>
      <c r="Y63" s="4">
        <f t="shared" si="68"/>
        <v>-0.00387369798568557</v>
      </c>
      <c r="Z63" t="str">
        <f t="shared" si="54"/>
        <v>0,999999993515688+0,00103359362367057i</v>
      </c>
      <c r="AA63" s="4">
        <f t="shared" si="69"/>
        <v>1.00000052767344</v>
      </c>
      <c r="AB63" s="4">
        <f t="shared" si="70"/>
        <v>0.00103359326230482</v>
      </c>
      <c r="AC63" s="67" t="str">
        <f t="shared" si="71"/>
        <v>56,923188433861-13,2992977946019i</v>
      </c>
      <c r="AD63" s="68">
        <f t="shared" si="72"/>
        <v>35.336603196984</v>
      </c>
      <c r="AE63" s="31">
        <f t="shared" si="73"/>
        <v>-13.150459444984</v>
      </c>
      <c r="AF63" s="32" t="str">
        <f t="shared" si="74"/>
        <v>326,048966736478</v>
      </c>
      <c r="AG63" s="32" t="str">
        <f t="shared" si="55"/>
        <v>1+0,148750746679303i</v>
      </c>
      <c r="AH63" s="32">
        <f t="shared" si="75"/>
        <v>1.01100286084543</v>
      </c>
      <c r="AI63" s="32">
        <f t="shared" si="76"/>
        <v>0.147667960631919</v>
      </c>
      <c r="AJ63" s="32" t="str">
        <f t="shared" si="56"/>
        <v>1+0,00277668060468032i</v>
      </c>
      <c r="AK63" s="32">
        <f t="shared" si="77"/>
        <v>1.00000385497016</v>
      </c>
      <c r="AL63" s="32">
        <f t="shared" si="78"/>
        <v>0.00277667346868566</v>
      </c>
      <c r="AM63" s="32" t="str">
        <f t="shared" si="57"/>
        <v>1-0,000458248960758241i</v>
      </c>
      <c r="AN63" s="32">
        <f t="shared" si="79"/>
        <v>1.00000010499605</v>
      </c>
      <c r="AO63" s="32">
        <f t="shared" si="80"/>
        <v>-0.000458248928682023</v>
      </c>
      <c r="AP63" s="30" t="str">
        <f t="shared" si="81"/>
        <v>319,101143326674-46,7106110941121i</v>
      </c>
      <c r="AQ63" s="32">
        <f t="shared" si="82"/>
        <v>50.1706432703035</v>
      </c>
      <c r="AR63" s="31">
        <f t="shared" si="83"/>
        <v>-8.32791497225119</v>
      </c>
      <c r="AS63" t="str">
        <f t="shared" si="58"/>
        <v>-0,000100699300699301</v>
      </c>
      <c r="AT63" t="str">
        <f t="shared" si="59"/>
        <v>0,0000397908247367135i</v>
      </c>
      <c r="AU63">
        <f t="shared" si="84"/>
        <v>3.97908247367135e-5</v>
      </c>
      <c r="AV63">
        <f t="shared" si="85"/>
        <v>1.5707963267949</v>
      </c>
      <c r="AW63" t="str">
        <f t="shared" si="60"/>
        <v>1+0,00203721724291647i</v>
      </c>
      <c r="AX63">
        <f t="shared" si="86"/>
        <v>1.00000207512489</v>
      </c>
      <c r="AY63">
        <f t="shared" si="87"/>
        <v>0.00203721442460042</v>
      </c>
      <c r="AZ63" t="str">
        <f t="shared" si="61"/>
        <v>1+0,0973963222304956i</v>
      </c>
      <c r="BA63">
        <f t="shared" si="88"/>
        <v>1.00473182670005</v>
      </c>
      <c r="BB63">
        <f t="shared" si="89"/>
        <v>0.0970900946968263</v>
      </c>
      <c r="BC63" s="30" t="str">
        <f t="shared" si="90"/>
        <v>-0,241325868414482+2,5312082334819i</v>
      </c>
      <c r="BD63" s="32">
        <f t="shared" si="91"/>
        <v>8.10585544360361</v>
      </c>
      <c r="BE63" s="31">
        <f t="shared" si="92"/>
        <v>95.4461288701609</v>
      </c>
      <c r="BF63" s="30" t="str">
        <f t="shared" si="93"/>
        <v>19,9262541955013+147,293907829416i</v>
      </c>
      <c r="BG63" s="68">
        <f t="shared" si="94"/>
        <v>43.4424586405876</v>
      </c>
      <c r="BH63" s="31">
        <f t="shared" si="95"/>
        <v>82.2956694251769</v>
      </c>
      <c r="BI63" s="30" t="str">
        <f t="shared" si="103"/>
        <v>41,2269228670238+818,983920088423i</v>
      </c>
      <c r="BJ63" s="68">
        <f t="shared" si="97"/>
        <v>58.2764987139071</v>
      </c>
      <c r="BK63" s="31">
        <f t="shared" si="104"/>
        <v>87.1182138979097</v>
      </c>
      <c r="BL63" s="32">
        <f t="shared" si="99"/>
        <v>43.4424586405876</v>
      </c>
      <c r="BM63" s="31">
        <f t="shared" si="100"/>
        <v>82.2956694251769</v>
      </c>
      <c r="BO63">
        <f t="shared" si="101"/>
        <v>0</v>
      </c>
      <c r="BP63">
        <f t="shared" si="102"/>
        <v>0</v>
      </c>
    </row>
    <row r="64" spans="1:68">
      <c r="N64" s="7">
        <v>46</v>
      </c>
      <c r="O64" s="18">
        <f t="shared" si="62"/>
        <v>28.8403150312661</v>
      </c>
      <c r="P64" s="86" t="str">
        <f t="shared" si="50"/>
        <v>60</v>
      </c>
      <c r="Q64" s="4" t="str">
        <f t="shared" si="51"/>
        <v>1+0,236779817047606i</v>
      </c>
      <c r="R64" s="4">
        <f t="shared" si="63"/>
        <v>1.027650077488</v>
      </c>
      <c r="S64" s="4">
        <f t="shared" si="64"/>
        <v>0.232497961188784</v>
      </c>
      <c r="T64" s="4" t="str">
        <f t="shared" si="52"/>
        <v>1+0,00284135780457127i</v>
      </c>
      <c r="U64" s="4">
        <f t="shared" si="65"/>
        <v>1.00000403664894</v>
      </c>
      <c r="V64" s="4">
        <f t="shared" si="66"/>
        <v>0.0028413501582169</v>
      </c>
      <c r="W64" t="str">
        <f t="shared" si="53"/>
        <v>1-0,00396394783003804i</v>
      </c>
      <c r="X64" s="4">
        <f t="shared" si="67"/>
        <v>1.00000785641034</v>
      </c>
      <c r="Y64" s="4">
        <f t="shared" si="68"/>
        <v>-0.00396392706855174</v>
      </c>
      <c r="Z64" t="str">
        <f t="shared" si="54"/>
        <v>0,999999993210092+0,00105766911196817i</v>
      </c>
      <c r="AA64" s="4">
        <f t="shared" si="69"/>
        <v>1.00000055254191</v>
      </c>
      <c r="AB64" s="4">
        <f t="shared" si="70"/>
        <v>0.0010576687247578</v>
      </c>
      <c r="AC64" s="67" t="str">
        <f t="shared" si="71"/>
        <v>56,7858808708478-13,5765666014637i</v>
      </c>
      <c r="AD64" s="68">
        <f t="shared" si="72"/>
        <v>35.3262183233733</v>
      </c>
      <c r="AE64" s="31">
        <f t="shared" si="73"/>
        <v>-13.4460707947064</v>
      </c>
      <c r="AF64" s="32" t="str">
        <f t="shared" si="74"/>
        <v>326,048966736478</v>
      </c>
      <c r="AG64" s="32" t="str">
        <f t="shared" si="55"/>
        <v>1+0,152215596673461i</v>
      </c>
      <c r="AH64" s="32">
        <f t="shared" si="75"/>
        <v>1.01151845651508</v>
      </c>
      <c r="AI64" s="32">
        <f t="shared" si="76"/>
        <v>0.151056082881719</v>
      </c>
      <c r="AJ64" s="32" t="str">
        <f t="shared" si="56"/>
        <v>1+0,00284135780457127i</v>
      </c>
      <c r="AK64" s="32">
        <f t="shared" si="77"/>
        <v>1.00000403664894</v>
      </c>
      <c r="AL64" s="32">
        <f t="shared" si="78"/>
        <v>0.0028413501582169</v>
      </c>
      <c r="AM64" s="32" t="str">
        <f t="shared" si="57"/>
        <v>1-0,000468922950263849i</v>
      </c>
      <c r="AN64" s="32">
        <f t="shared" si="79"/>
        <v>1.00000010994436</v>
      </c>
      <c r="AO64" s="32">
        <f t="shared" si="80"/>
        <v>-0.000468922915893562</v>
      </c>
      <c r="AP64" s="30" t="str">
        <f t="shared" si="81"/>
        <v>318,781117366854-47,7499280553317i</v>
      </c>
      <c r="AQ64" s="32">
        <f t="shared" si="82"/>
        <v>50.1662163524033</v>
      </c>
      <c r="AR64" s="31">
        <f t="shared" si="83"/>
        <v>-8.51894595071384</v>
      </c>
      <c r="AS64" t="str">
        <f t="shared" si="58"/>
        <v>-0,000100699300699301</v>
      </c>
      <c r="AT64" t="str">
        <f t="shared" si="59"/>
        <v>0,0000407176721101507i</v>
      </c>
      <c r="AU64">
        <f t="shared" si="84"/>
        <v>4.07176721101507e-5</v>
      </c>
      <c r="AV64">
        <f t="shared" si="85"/>
        <v>1.5707963267949</v>
      </c>
      <c r="AW64" t="str">
        <f t="shared" si="60"/>
        <v>1+0,00208467012842995i</v>
      </c>
      <c r="AX64">
        <f t="shared" si="86"/>
        <v>1.00000217292241</v>
      </c>
      <c r="AY64">
        <f t="shared" si="87"/>
        <v>0.00208466710855025</v>
      </c>
      <c r="AZ64" t="str">
        <f t="shared" si="61"/>
        <v>1+0,099664974012385i</v>
      </c>
      <c r="BA64">
        <f t="shared" si="88"/>
        <v>1.00495428107197</v>
      </c>
      <c r="BB64">
        <f t="shared" si="89"/>
        <v>0.0993369326012563</v>
      </c>
      <c r="BC64" s="30" t="str">
        <f t="shared" si="90"/>
        <v>-0,241325821212446+2,47361354219708i</v>
      </c>
      <c r="BD64" s="32">
        <f t="shared" si="91"/>
        <v>7.90777749556367</v>
      </c>
      <c r="BE64" s="31">
        <f t="shared" si="92"/>
        <v>95.5721443608178</v>
      </c>
      <c r="BF64" s="30" t="str">
        <f t="shared" si="93"/>
        <v>19,8792796674917+143,742700012063i</v>
      </c>
      <c r="BG64" s="68">
        <f t="shared" si="94"/>
        <v>43.233995818937</v>
      </c>
      <c r="BH64" s="31">
        <f t="shared" si="95"/>
        <v>82.1260735661115</v>
      </c>
      <c r="BI64" s="30" t="str">
        <f t="shared" si="103"/>
        <v>41,1847537410276+800,064579516155i</v>
      </c>
      <c r="BJ64" s="68">
        <f t="shared" si="97"/>
        <v>58.073993847967</v>
      </c>
      <c r="BK64" s="31">
        <f t="shared" si="104"/>
        <v>87.053198410104</v>
      </c>
      <c r="BL64" s="32">
        <f t="shared" si="99"/>
        <v>43.233995818937</v>
      </c>
      <c r="BM64" s="31">
        <f t="shared" si="100"/>
        <v>82.1260735661115</v>
      </c>
      <c r="BO64">
        <f t="shared" si="101"/>
        <v>0</v>
      </c>
      <c r="BP64">
        <f t="shared" si="102"/>
        <v>0</v>
      </c>
    </row>
    <row r="65" spans="1:68">
      <c r="A65" s="79" t="s">
        <v>508</v>
      </c>
      <c r="N65" s="7">
        <v>47</v>
      </c>
      <c r="O65" s="18">
        <f t="shared" si="62"/>
        <v>29.5120922666639</v>
      </c>
      <c r="P65" s="86" t="str">
        <f t="shared" si="50"/>
        <v>60</v>
      </c>
      <c r="Q65" s="4" t="str">
        <f t="shared" si="51"/>
        <v>1+0,242295127498334i</v>
      </c>
      <c r="R65" s="4">
        <f t="shared" si="63"/>
        <v>1.02893485158655</v>
      </c>
      <c r="S65" s="4">
        <f t="shared" si="64"/>
        <v>0.2377139757571</v>
      </c>
      <c r="T65" s="4" t="str">
        <f t="shared" si="52"/>
        <v>1+0,00290754152998001i</v>
      </c>
      <c r="U65" s="4">
        <f t="shared" si="65"/>
        <v>1.00000422688994</v>
      </c>
      <c r="V65" s="4">
        <f t="shared" si="66"/>
        <v>0.00290753333676556</v>
      </c>
      <c r="W65" t="str">
        <f t="shared" si="53"/>
        <v>1-0,00405628003624443i</v>
      </c>
      <c r="X65" s="4">
        <f t="shared" si="67"/>
        <v>1.00000822667003</v>
      </c>
      <c r="Y65" s="4">
        <f t="shared" si="68"/>
        <v>-0.00405625778992094</v>
      </c>
      <c r="Z65" t="str">
        <f t="shared" si="54"/>
        <v>0,999999992890093+0,00108230539042884i</v>
      </c>
      <c r="AA65" s="4">
        <f t="shared" si="69"/>
        <v>1.0000005785824</v>
      </c>
      <c r="AB65" s="4">
        <f t="shared" si="70"/>
        <v>0.00108230497552547</v>
      </c>
      <c r="AC65" s="67" t="str">
        <f t="shared" si="71"/>
        <v>56,6428037166474-13,8581385926676i</v>
      </c>
      <c r="AD65" s="68">
        <f t="shared" si="72"/>
        <v>35.3153705983375</v>
      </c>
      <c r="AE65" s="31">
        <f t="shared" si="73"/>
        <v>-13.7478361123899</v>
      </c>
      <c r="AF65" s="32" t="str">
        <f t="shared" si="74"/>
        <v>326,048966736478</v>
      </c>
      <c r="AG65" s="32" t="str">
        <f t="shared" si="55"/>
        <v>1+0,155761153391786i</v>
      </c>
      <c r="AH65" s="32">
        <f t="shared" si="75"/>
        <v>1.01205806992778</v>
      </c>
      <c r="AI65" s="32">
        <f t="shared" si="76"/>
        <v>0.154519510069111</v>
      </c>
      <c r="AJ65" s="32" t="str">
        <f t="shared" si="56"/>
        <v>1+0,00290754152998001i</v>
      </c>
      <c r="AK65" s="32">
        <f t="shared" si="77"/>
        <v>1.00000422688994</v>
      </c>
      <c r="AL65" s="32">
        <f t="shared" si="78"/>
        <v>0.00290753333676556</v>
      </c>
      <c r="AM65" s="32" t="str">
        <f t="shared" si="57"/>
        <v>1-0,000479845568924612i</v>
      </c>
      <c r="AN65" s="32">
        <f t="shared" si="79"/>
        <v>1.00000011512588</v>
      </c>
      <c r="AO65" s="32">
        <f t="shared" si="80"/>
        <v>-0.000479845532096187</v>
      </c>
      <c r="AP65" s="30" t="str">
        <f t="shared" si="81"/>
        <v>318,446707476507-48,810078690705i</v>
      </c>
      <c r="AQ65" s="32">
        <f t="shared" si="82"/>
        <v>50.1615856352759</v>
      </c>
      <c r="AR65" s="31">
        <f t="shared" si="83"/>
        <v>-8.71421951420636</v>
      </c>
      <c r="AS65" t="str">
        <f t="shared" si="58"/>
        <v>-0,000100699300699301</v>
      </c>
      <c r="AT65" t="str">
        <f t="shared" si="59"/>
        <v>0,0000416661085323027i</v>
      </c>
      <c r="AU65">
        <f t="shared" si="84"/>
        <v>4.16661085323027e-5</v>
      </c>
      <c r="AV65">
        <f t="shared" si="85"/>
        <v>1.5707963267949</v>
      </c>
      <c r="AW65" t="str">
        <f t="shared" si="60"/>
        <v>1+0,00213322833363939i</v>
      </c>
      <c r="AX65">
        <f t="shared" si="86"/>
        <v>1.00000227532897</v>
      </c>
      <c r="AY65">
        <f t="shared" si="87"/>
        <v>0.00213322509778039</v>
      </c>
      <c r="AZ65" t="str">
        <f t="shared" si="61"/>
        <v>1+0,101986469482717i</v>
      </c>
      <c r="BA65">
        <f t="shared" si="88"/>
        <v>1.00518716662995</v>
      </c>
      <c r="BB65">
        <f t="shared" si="89"/>
        <v>0.101635064669901</v>
      </c>
      <c r="BC65" s="30" t="str">
        <f t="shared" si="90"/>
        <v>-0,241325771785866+2,41733039354522i</v>
      </c>
      <c r="BD65" s="32">
        <f t="shared" si="91"/>
        <v>7.7097892189335</v>
      </c>
      <c r="BE65" s="31">
        <f t="shared" si="92"/>
        <v>95.7010354612703</v>
      </c>
      <c r="BF65" s="30" t="str">
        <f t="shared" si="93"/>
        <v>19,8303312949821+140,268696991259i</v>
      </c>
      <c r="BG65" s="68">
        <f t="shared" si="94"/>
        <v>43.025159817271</v>
      </c>
      <c r="BH65" s="31">
        <f t="shared" si="95"/>
        <v>81.9531993488805</v>
      </c>
      <c r="BI65" s="30" t="str">
        <f t="shared" si="103"/>
        <v>41,1406892759391+781,570034618328i</v>
      </c>
      <c r="BJ65" s="68">
        <f t="shared" si="97"/>
        <v>57.8713748542094</v>
      </c>
      <c r="BK65" s="31">
        <f t="shared" si="104"/>
        <v>86.9868159470639</v>
      </c>
      <c r="BL65" s="32">
        <f t="shared" si="99"/>
        <v>43.025159817271</v>
      </c>
      <c r="BM65" s="31">
        <f t="shared" si="100"/>
        <v>81.9531993488805</v>
      </c>
      <c r="BO65">
        <f t="shared" si="101"/>
        <v>0</v>
      </c>
      <c r="BP65">
        <f t="shared" si="102"/>
        <v>0</v>
      </c>
    </row>
    <row r="66" spans="1:68">
      <c r="A66" t="s">
        <v>509</v>
      </c>
      <c r="B66">
        <f>SQRT((2*IOUT*Lm*Fsw*(VOUT-VIN_var)/(VIN_var^2)))</f>
        <v>3.62284418654736</v>
      </c>
      <c r="E66" t="s">
        <v>510</v>
      </c>
      <c r="N66" s="7">
        <v>48</v>
      </c>
      <c r="O66" s="18">
        <f t="shared" si="62"/>
        <v>30.1995172040202</v>
      </c>
      <c r="P66" s="86" t="str">
        <f t="shared" si="50"/>
        <v>60</v>
      </c>
      <c r="Q66" s="4" t="str">
        <f t="shared" si="51"/>
        <v>1+0,247938906032817i</v>
      </c>
      <c r="R66" s="4">
        <f t="shared" si="63"/>
        <v>1.03027845805139</v>
      </c>
      <c r="S66" s="4">
        <f t="shared" si="64"/>
        <v>0.243037871204049</v>
      </c>
      <c r="T66" s="4" t="str">
        <f t="shared" si="52"/>
        <v>1+0,0029752668723938i</v>
      </c>
      <c r="U66" s="4">
        <f t="shared" si="65"/>
        <v>1.00000442609669</v>
      </c>
      <c r="V66" s="4">
        <f t="shared" si="66"/>
        <v>0.00297525809320844</v>
      </c>
      <c r="W66" t="str">
        <f t="shared" si="53"/>
        <v>1-0,00415076293581725i</v>
      </c>
      <c r="X66" s="4">
        <f t="shared" si="67"/>
        <v>1.00000861437937</v>
      </c>
      <c r="Y66" s="4">
        <f t="shared" si="68"/>
        <v>-0.00415073909846325</v>
      </c>
      <c r="Z66" t="str">
        <f t="shared" si="54"/>
        <v>0,999999992555014+0,00110751552153351i</v>
      </c>
      <c r="AA66" s="4">
        <f t="shared" si="69"/>
        <v>1.00000060585015</v>
      </c>
      <c r="AB66" s="4">
        <f t="shared" si="70"/>
        <v>0.00110751507695655</v>
      </c>
      <c r="AC66" s="67" t="str">
        <f t="shared" si="71"/>
        <v>56,4937469915295-14,1439791760108i</v>
      </c>
      <c r="AD66" s="68">
        <f t="shared" si="72"/>
        <v>35.3040406266965</v>
      </c>
      <c r="AE66" s="31">
        <f t="shared" si="73"/>
        <v>-14.0558503219918</v>
      </c>
      <c r="AF66" s="32" t="str">
        <f t="shared" si="74"/>
        <v>326,048966736478</v>
      </c>
      <c r="AG66" s="32" t="str">
        <f t="shared" si="55"/>
        <v>1+0,159389296735382i</v>
      </c>
      <c r="AH66" s="32">
        <f t="shared" si="75"/>
        <v>1.01262280633699</v>
      </c>
      <c r="AI66" s="32">
        <f t="shared" si="76"/>
        <v>0.158059746018488</v>
      </c>
      <c r="AJ66" s="32" t="str">
        <f t="shared" si="56"/>
        <v>1+0,0029752668723938i</v>
      </c>
      <c r="AK66" s="32">
        <f t="shared" si="77"/>
        <v>1.00000442609669</v>
      </c>
      <c r="AL66" s="32">
        <f t="shared" si="78"/>
        <v>0.00297525809320844</v>
      </c>
      <c r="AM66" s="32" t="str">
        <f t="shared" si="57"/>
        <v>1-0,000491022608057528i</v>
      </c>
      <c r="AN66" s="32">
        <f t="shared" si="79"/>
        <v>1.00000012055159</v>
      </c>
      <c r="AO66" s="32">
        <f t="shared" si="80"/>
        <v>-0.000491022568595159</v>
      </c>
      <c r="AP66" s="30" t="str">
        <f t="shared" si="81"/>
        <v>318,097300696719-49,8913197759655i</v>
      </c>
      <c r="AQ66" s="32">
        <f t="shared" si="82"/>
        <v>50.1567419693251</v>
      </c>
      <c r="AR66" s="31">
        <f t="shared" si="83"/>
        <v>-8.91382014689228</v>
      </c>
      <c r="AS66" t="str">
        <f t="shared" si="58"/>
        <v>-0,000100699300699301</v>
      </c>
      <c r="AT66" t="str">
        <f t="shared" si="59"/>
        <v>0,0000426366368767147i</v>
      </c>
      <c r="AU66">
        <f t="shared" si="84"/>
        <v>4.26366368767147e-5</v>
      </c>
      <c r="AV66">
        <f t="shared" si="85"/>
        <v>1.5707963267949</v>
      </c>
      <c r="AW66" t="str">
        <f t="shared" si="60"/>
        <v>1+0,00218291760474794i</v>
      </c>
      <c r="AX66">
        <f t="shared" si="86"/>
        <v>1.0000023825618</v>
      </c>
      <c r="AY66">
        <f t="shared" si="87"/>
        <v>0.002182914137463</v>
      </c>
      <c r="AZ66" t="str">
        <f t="shared" si="61"/>
        <v>1+0,104362039529119i</v>
      </c>
      <c r="BA66">
        <f t="shared" si="88"/>
        <v>1.00543096993015</v>
      </c>
      <c r="BB66">
        <f t="shared" si="89"/>
        <v>0.103985612250547</v>
      </c>
      <c r="BC66" s="30" t="str">
        <f t="shared" si="90"/>
        <v>-0,241325720029904+2,36232894545521i</v>
      </c>
      <c r="BD66" s="32">
        <f t="shared" si="91"/>
        <v>7.51189475272487</v>
      </c>
      <c r="BE66" s="31">
        <f t="shared" si="92"/>
        <v>95.8328649449241</v>
      </c>
      <c r="BF66" s="30" t="str">
        <f t="shared" si="93"/>
        <v>19,779337241488+136,870119714052i</v>
      </c>
      <c r="BG66" s="68">
        <f t="shared" si="94"/>
        <v>42.8159353794214</v>
      </c>
      <c r="BH66" s="31">
        <f t="shared" si="95"/>
        <v>81.7770146229323</v>
      </c>
      <c r="BI66" s="30" t="str">
        <f t="shared" si="103"/>
        <v>41,0946487035206+763,490519575206i</v>
      </c>
      <c r="BJ66" s="68">
        <f t="shared" si="97"/>
        <v>57.66863672205</v>
      </c>
      <c r="BK66" s="31">
        <f t="shared" si="104"/>
        <v>86.9190447980318</v>
      </c>
      <c r="BL66" s="32">
        <f t="shared" si="99"/>
        <v>42.8159353794214</v>
      </c>
      <c r="BM66" s="31">
        <f t="shared" si="100"/>
        <v>81.7770146229323</v>
      </c>
      <c r="BO66">
        <f t="shared" si="101"/>
        <v>0</v>
      </c>
      <c r="BP66">
        <f t="shared" si="102"/>
        <v>0</v>
      </c>
    </row>
    <row r="67" spans="1:68">
      <c r="A67" t="s">
        <v>342</v>
      </c>
      <c r="B67">
        <f>(Fsw*Gcomp)/((R_cs*Acs*(VIN_var/Lm))+((R_sl+Rsl_int)*Isl))</f>
        <v>157.496613822803</v>
      </c>
      <c r="C67" t="s">
        <v>244</v>
      </c>
      <c r="E67" t="s">
        <v>511</v>
      </c>
      <c r="N67" s="7">
        <v>49</v>
      </c>
      <c r="O67" s="18">
        <f t="shared" si="62"/>
        <v>30.9029543251359</v>
      </c>
      <c r="P67" s="86" t="str">
        <f t="shared" si="50"/>
        <v>60</v>
      </c>
      <c r="Q67" s="4" t="str">
        <f t="shared" si="51"/>
        <v>1+0,253714145057138i</v>
      </c>
      <c r="R67" s="4">
        <f t="shared" si="63"/>
        <v>1.03168351125821</v>
      </c>
      <c r="S67" s="4">
        <f t="shared" si="64"/>
        <v>0.248471262609053</v>
      </c>
      <c r="T67" s="4" t="str">
        <f t="shared" si="52"/>
        <v>1+0,00304456974068565i</v>
      </c>
      <c r="U67" s="4">
        <f t="shared" si="65"/>
        <v>1.00000463469171</v>
      </c>
      <c r="V67" s="4">
        <f t="shared" si="66"/>
        <v>0.00304456033362141</v>
      </c>
      <c r="W67" t="str">
        <f t="shared" si="53"/>
        <v>1-0,00424744662484048i</v>
      </c>
      <c r="X67" s="4">
        <f t="shared" si="67"/>
        <v>1.00000902036073</v>
      </c>
      <c r="Y67" s="4">
        <f t="shared" si="68"/>
        <v>-0.00424742108266793</v>
      </c>
      <c r="Z67" t="str">
        <f t="shared" si="54"/>
        <v>0,999999992204142+0,00113331287202741i</v>
      </c>
      <c r="AA67" s="4">
        <f t="shared" si="69"/>
        <v>1.00000063440297</v>
      </c>
      <c r="AB67" s="4">
        <f t="shared" si="70"/>
        <v>0.00113331239565463</v>
      </c>
      <c r="AC67" s="67" t="str">
        <f t="shared" si="71"/>
        <v>56,3384960104208-14,4340454353821i</v>
      </c>
      <c r="AD67" s="68">
        <f t="shared" si="72"/>
        <v>35.2922083122625</v>
      </c>
      <c r="AE67" s="31">
        <f t="shared" si="73"/>
        <v>-14.3702075391886</v>
      </c>
      <c r="AF67" s="32" t="str">
        <f t="shared" si="74"/>
        <v>326,048966736478</v>
      </c>
      <c r="AG67" s="32" t="str">
        <f t="shared" si="55"/>
        <v>1+0,163101950393874i</v>
      </c>
      <c r="AH67" s="32">
        <f t="shared" si="75"/>
        <v>1.01321382058393</v>
      </c>
      <c r="AI67" s="32">
        <f t="shared" si="76"/>
        <v>0.161678312662266</v>
      </c>
      <c r="AJ67" s="32" t="str">
        <f t="shared" si="56"/>
        <v>1+0,00304456974068565i</v>
      </c>
      <c r="AK67" s="32">
        <f t="shared" si="77"/>
        <v>1.00000463469171</v>
      </c>
      <c r="AL67" s="32">
        <f t="shared" si="78"/>
        <v>0.00304456033362141</v>
      </c>
      <c r="AM67" s="32" t="str">
        <f t="shared" si="57"/>
        <v>1-0,000502459993876687i</v>
      </c>
      <c r="AN67" s="32">
        <f t="shared" si="79"/>
        <v>1.00000012623301</v>
      </c>
      <c r="AO67" s="32">
        <f t="shared" si="80"/>
        <v>-0.000502459951591997</v>
      </c>
      <c r="AP67" s="30" t="str">
        <f t="shared" si="81"/>
        <v>317,732261095044-50,9938992313796i</v>
      </c>
      <c r="AQ67" s="32">
        <f t="shared" si="82"/>
        <v>50.1516758160289</v>
      </c>
      <c r="AR67" s="31">
        <f t="shared" si="83"/>
        <v>-9.11783333135551</v>
      </c>
      <c r="AS67" t="str">
        <f t="shared" si="58"/>
        <v>-0,000100699300699301</v>
      </c>
      <c r="AT67" t="str">
        <f t="shared" si="59"/>
        <v>0,0000436297717303613i</v>
      </c>
      <c r="AU67">
        <f t="shared" si="84"/>
        <v>4.36297717303613e-5</v>
      </c>
      <c r="AV67">
        <f t="shared" si="85"/>
        <v>1.5707963267949</v>
      </c>
      <c r="AW67" t="str">
        <f t="shared" si="60"/>
        <v>1+0,00223376428766485i</v>
      </c>
      <c r="AX67">
        <f t="shared" si="86"/>
        <v>1.00000249484833</v>
      </c>
      <c r="AY67">
        <f t="shared" si="87"/>
        <v>0.0022337605724026</v>
      </c>
      <c r="AZ67" t="str">
        <f t="shared" si="61"/>
        <v>1+0,106792943710275i</v>
      </c>
      <c r="BA67">
        <f t="shared" si="88"/>
        <v>1.00568619997806</v>
      </c>
      <c r="BB67">
        <f t="shared" si="89"/>
        <v>0.106389717682225</v>
      </c>
      <c r="BC67" s="30" t="str">
        <f t="shared" si="90"/>
        <v>-0,241325665834784+2,30858003543056i</v>
      </c>
      <c r="BD67" s="32">
        <f t="shared" si="91"/>
        <v>7.31409842275079</v>
      </c>
      <c r="BE67" s="31">
        <f t="shared" si="92"/>
        <v>95.9676967535384</v>
      </c>
      <c r="BF67" s="30" t="str">
        <f t="shared" si="93"/>
        <v>19,7262240607756+133,545232741225i</v>
      </c>
      <c r="BG67" s="68">
        <f t="shared" si="94"/>
        <v>42.6063067350133</v>
      </c>
      <c r="BH67" s="31">
        <f t="shared" si="95"/>
        <v>81.5974892143498</v>
      </c>
      <c r="BI67" s="30" t="str">
        <f t="shared" si="103"/>
        <v>41,0465482283678+745,816491261753i</v>
      </c>
      <c r="BJ67" s="68">
        <f t="shared" si="97"/>
        <v>57.4657742387797</v>
      </c>
      <c r="BK67" s="31">
        <f t="shared" si="104"/>
        <v>86.8498634221829</v>
      </c>
      <c r="BL67" s="32">
        <f t="shared" si="99"/>
        <v>42.6063067350133</v>
      </c>
      <c r="BM67" s="31">
        <f t="shared" si="100"/>
        <v>81.5974892143498</v>
      </c>
      <c r="BO67">
        <f t="shared" si="101"/>
        <v>0</v>
      </c>
      <c r="BP67">
        <f t="shared" si="102"/>
        <v>0</v>
      </c>
    </row>
    <row r="68" spans="1:68">
      <c r="A68" t="s">
        <v>344</v>
      </c>
      <c r="B68">
        <f>(B67*2*VOUT/DC_VIN_var_DCM)*(((VOUT/VIN_var)-1)/((2*VOUT/VIN_var)-1))</f>
        <v>326.048966736478</v>
      </c>
      <c r="C68" t="s">
        <v>244</v>
      </c>
      <c r="N68" s="7">
        <v>50</v>
      </c>
      <c r="O68" s="18">
        <f t="shared" si="62"/>
        <v>31.6227766016838</v>
      </c>
      <c r="P68" s="86" t="str">
        <f t="shared" si="50"/>
        <v>60</v>
      </c>
      <c r="Q68" s="4" t="str">
        <f t="shared" si="51"/>
        <v>1+0,259623906679471i</v>
      </c>
      <c r="R68" s="4">
        <f t="shared" si="63"/>
        <v>1.0331527345555</v>
      </c>
      <c r="S68" s="4">
        <f t="shared" si="64"/>
        <v>0.254015747055056</v>
      </c>
      <c r="T68" s="4" t="str">
        <f t="shared" si="52"/>
        <v>1+0,00311548688015366i</v>
      </c>
      <c r="U68" s="4">
        <f t="shared" si="65"/>
        <v>1.00000485311747</v>
      </c>
      <c r="V68" s="4">
        <f t="shared" si="66"/>
        <v>0.00311547680030536</v>
      </c>
      <c r="W68" t="str">
        <f t="shared" si="53"/>
        <v>1-0,0043463823662858i</v>
      </c>
      <c r="X68" s="4">
        <f t="shared" si="67"/>
        <v>1.00000944547523</v>
      </c>
      <c r="Y68" s="4">
        <f t="shared" si="68"/>
        <v>-0.00434635499736878</v>
      </c>
      <c r="Z68" t="str">
        <f t="shared" si="54"/>
        <v>0,999999991836735+0,00115971112000722i</v>
      </c>
      <c r="AA68" s="4">
        <f t="shared" si="69"/>
        <v>1.00000066430146</v>
      </c>
      <c r="AB68" s="4">
        <f t="shared" si="70"/>
        <v>0.00115971060956461</v>
      </c>
      <c r="AC68" s="67" t="str">
        <f t="shared" si="71"/>
        <v>56,1768315582493-14,7282856214474i</v>
      </c>
      <c r="AD68" s="68">
        <f t="shared" si="72"/>
        <v>35.2798528425988</v>
      </c>
      <c r="AE68" s="31">
        <f t="shared" si="73"/>
        <v>-14.6910008852885</v>
      </c>
      <c r="AF68" s="32" t="str">
        <f t="shared" si="74"/>
        <v>326,048966736478</v>
      </c>
      <c r="AG68" s="32" t="str">
        <f t="shared" si="55"/>
        <v>1+0,166901082865375i</v>
      </c>
      <c r="AH68" s="32">
        <f t="shared" si="75"/>
        <v>1.01383231920354</v>
      </c>
      <c r="AI68" s="32">
        <f t="shared" si="76"/>
        <v>0.165376749366644</v>
      </c>
      <c r="AJ68" s="32" t="str">
        <f t="shared" si="56"/>
        <v>1+0,00311548688015366i</v>
      </c>
      <c r="AK68" s="32">
        <f t="shared" si="77"/>
        <v>1.00000485311747</v>
      </c>
      <c r="AL68" s="32">
        <f t="shared" si="78"/>
        <v>0.00311547680030536</v>
      </c>
      <c r="AM68" s="32" t="str">
        <f t="shared" si="57"/>
        <v>1-0,000514163790635444i</v>
      </c>
      <c r="AN68" s="32">
        <f t="shared" si="79"/>
        <v>1.00000013218219</v>
      </c>
      <c r="AO68" s="32">
        <f t="shared" si="80"/>
        <v>-0.000514163745326583</v>
      </c>
      <c r="AP68" s="30" t="str">
        <f t="shared" si="81"/>
        <v>317,350929203875-52,1180550269745i</v>
      </c>
      <c r="AQ68" s="32">
        <f t="shared" si="82"/>
        <v>50.1463772334554</v>
      </c>
      <c r="AR68" s="31">
        <f t="shared" si="83"/>
        <v>-9.32634550905891</v>
      </c>
      <c r="AS68" t="str">
        <f t="shared" si="58"/>
        <v>-0,000100699300699301</v>
      </c>
      <c r="AT68" t="str">
        <f t="shared" si="59"/>
        <v>0,0000446460396664877i</v>
      </c>
      <c r="AU68">
        <f t="shared" si="84"/>
        <v>4.46460396664877e-5</v>
      </c>
      <c r="AV68">
        <f t="shared" si="85"/>
        <v>1.5707963267949</v>
      </c>
      <c r="AW68" t="str">
        <f t="shared" si="60"/>
        <v>1+0,00228579534197445i</v>
      </c>
      <c r="AX68">
        <f t="shared" si="86"/>
        <v>1.00000261242676</v>
      </c>
      <c r="AY68">
        <f t="shared" si="87"/>
        <v>0.00228579136099978</v>
      </c>
      <c r="AZ68" t="str">
        <f t="shared" si="61"/>
        <v>1+0,109280470923757i</v>
      </c>
      <c r="BA68">
        <f t="shared" si="88"/>
        <v>1.00595338924093</v>
      </c>
      <c r="BB68">
        <f t="shared" si="89"/>
        <v>0.108848544432303</v>
      </c>
      <c r="BC68" s="30" t="str">
        <f t="shared" si="90"/>
        <v>-0,241325609085551+2,25605516508694i</v>
      </c>
      <c r="BD68" s="32">
        <f t="shared" si="91"/>
        <v>7.11640474965114</v>
      </c>
      <c r="BE68" s="31">
        <f t="shared" si="92"/>
        <v>96.1055960042805</v>
      </c>
      <c r="BF68" s="30" t="str">
        <f t="shared" si="93"/>
        <v>19,6709167568512+130,292343493589i</v>
      </c>
      <c r="BG68" s="68">
        <f t="shared" si="94"/>
        <v>42.3962575922499</v>
      </c>
      <c r="BH68" s="31">
        <f t="shared" si="95"/>
        <v>81.414595118992</v>
      </c>
      <c r="BI68" s="30" t="str">
        <f t="shared" si="103"/>
        <v>40,9963009539005+728,538624349281i</v>
      </c>
      <c r="BJ68" s="68">
        <f t="shared" si="97"/>
        <v>57.2627819831065</v>
      </c>
      <c r="BK68" s="31">
        <f t="shared" si="104"/>
        <v>86.7792504952215</v>
      </c>
      <c r="BL68" s="32">
        <f t="shared" si="99"/>
        <v>42.3962575922499</v>
      </c>
      <c r="BM68" s="31">
        <f t="shared" si="100"/>
        <v>81.414595118992</v>
      </c>
      <c r="BO68">
        <f t="shared" si="101"/>
        <v>0</v>
      </c>
      <c r="BP68">
        <f t="shared" si="102"/>
        <v>0</v>
      </c>
    </row>
    <row r="69" spans="1:68">
      <c r="A69" t="s">
        <v>512</v>
      </c>
      <c r="B69">
        <f>(IOUT_VAR*((2*VOUT)-VIN_var))/(Cout*VOUT*(VOUT-VIN_var))</f>
        <v>1190.47619047619</v>
      </c>
      <c r="C69" t="s">
        <v>304</v>
      </c>
      <c r="N69" s="7">
        <v>51</v>
      </c>
      <c r="O69" s="18">
        <f t="shared" si="62"/>
        <v>32.3593656929628</v>
      </c>
      <c r="P69" s="86" t="str">
        <f t="shared" si="50"/>
        <v>60</v>
      </c>
      <c r="Q69" s="4" t="str">
        <f t="shared" si="51"/>
        <v>1+0,265671324333655i</v>
      </c>
      <c r="R69" s="4">
        <f t="shared" si="63"/>
        <v>1.03468896416904</v>
      </c>
      <c r="S69" s="4">
        <f t="shared" si="64"/>
        <v>0.259672900169865</v>
      </c>
      <c r="T69" s="4" t="str">
        <f t="shared" si="52"/>
        <v>1+0,00318805589200387i</v>
      </c>
      <c r="U69" s="4">
        <f t="shared" si="65"/>
        <v>1.00000508183727</v>
      </c>
      <c r="V69" s="4">
        <f t="shared" si="66"/>
        <v>0.00318804509125479</v>
      </c>
      <c r="W69" t="str">
        <f t="shared" si="53"/>
        <v>1-0,00444762261719289i</v>
      </c>
      <c r="X69" s="4">
        <f t="shared" si="67"/>
        <v>1.00000989062456</v>
      </c>
      <c r="Y69" s="4">
        <f t="shared" si="68"/>
        <v>-0.0044475932908856</v>
      </c>
      <c r="Z69" t="str">
        <f t="shared" si="54"/>
        <v>0,999999991452012+0,00118672426217345i</v>
      </c>
      <c r="AA69" s="4">
        <f t="shared" si="69"/>
        <v>1.00000069560901</v>
      </c>
      <c r="AB69" s="4">
        <f t="shared" si="70"/>
        <v>0.00118672371522436</v>
      </c>
      <c r="AC69" s="67" t="str">
        <f t="shared" si="71"/>
        <v>56,0085300987888-15,0266386293347i</v>
      </c>
      <c r="AD69" s="68">
        <f t="shared" si="72"/>
        <v>35.2669526744138</v>
      </c>
      <c r="AE69" s="31">
        <f t="shared" si="73"/>
        <v>-15.0183222899178</v>
      </c>
      <c r="AF69" s="32" t="str">
        <f t="shared" si="74"/>
        <v>326,048966736478</v>
      </c>
      <c r="AG69" s="32" t="str">
        <f t="shared" si="55"/>
        <v>1+0,170788708500207i</v>
      </c>
      <c r="AH69" s="32">
        <f t="shared" si="75"/>
        <v>1.01447956260891</v>
      </c>
      <c r="AI69" s="32">
        <f t="shared" si="76"/>
        <v>0.16915661217633</v>
      </c>
      <c r="AJ69" s="32" t="str">
        <f t="shared" si="56"/>
        <v>1+0,00318805589200387i</v>
      </c>
      <c r="AK69" s="32">
        <f t="shared" si="77"/>
        <v>1.00000508183727</v>
      </c>
      <c r="AL69" s="32">
        <f t="shared" si="78"/>
        <v>0.00318804509125479</v>
      </c>
      <c r="AM69" s="32" t="str">
        <f t="shared" si="57"/>
        <v>1-0,000526140203841758i</v>
      </c>
      <c r="AN69" s="32">
        <f t="shared" si="79"/>
        <v>1.00000013841175</v>
      </c>
      <c r="AO69" s="32">
        <f t="shared" si="80"/>
        <v>-0.000526140155292439</v>
      </c>
      <c r="AP69" s="30" t="str">
        <f t="shared" si="81"/>
        <v>316,952621475741-53,2640140179318i</v>
      </c>
      <c r="AQ69" s="32">
        <f t="shared" si="82"/>
        <v>50.1408358614342</v>
      </c>
      <c r="AR69" s="31">
        <f t="shared" si="83"/>
        <v>-9.53944403613928</v>
      </c>
      <c r="AS69" t="str">
        <f t="shared" si="58"/>
        <v>-0,000100699300699301</v>
      </c>
      <c r="AT69" t="str">
        <f t="shared" si="59"/>
        <v>0,0000456859795238054i</v>
      </c>
      <c r="AU69">
        <f t="shared" si="84"/>
        <v>4.56859795238054e-5</v>
      </c>
      <c r="AV69">
        <f t="shared" si="85"/>
        <v>1.5707963267949</v>
      </c>
      <c r="AW69" t="str">
        <f t="shared" si="60"/>
        <v>1+0,00233903835523044i</v>
      </c>
      <c r="AX69">
        <f t="shared" si="86"/>
        <v>1.00000273554647</v>
      </c>
      <c r="AY69">
        <f t="shared" si="87"/>
        <v>0.00233903408953986</v>
      </c>
      <c r="AZ69" t="str">
        <f t="shared" si="61"/>
        <v>1+0,111825940089421i</v>
      </c>
      <c r="BA69">
        <f t="shared" si="88"/>
        <v>1.00623309470365</v>
      </c>
      <c r="BB69">
        <f t="shared" si="89"/>
        <v>0.11136327721338</v>
      </c>
      <c r="BC69" s="30" t="str">
        <f t="shared" si="90"/>
        <v>-0,241325549661838+2,20472648504205i</v>
      </c>
      <c r="BD69" s="32">
        <f t="shared" si="91"/>
        <v>6.91881845722534</v>
      </c>
      <c r="BE69" s="31">
        <f t="shared" si="92"/>
        <v>96.2466289956042</v>
      </c>
      <c r="BF69" s="30" t="str">
        <f t="shared" si="93"/>
        <v>19,6133388554084+127,109801523869i</v>
      </c>
      <c r="BG69" s="68">
        <f t="shared" si="94"/>
        <v>42.1857711316391</v>
      </c>
      <c r="BH69" s="31">
        <f t="shared" si="95"/>
        <v>81.2283067056864</v>
      </c>
      <c r="BI69" s="30" t="str">
        <f t="shared" si="103"/>
        <v>40,9438168105916+711,647806531147i</v>
      </c>
      <c r="BJ69" s="68">
        <f t="shared" si="97"/>
        <v>57.0596543186595</v>
      </c>
      <c r="BK69" s="31">
        <f t="shared" si="104"/>
        <v>86.7071849594649</v>
      </c>
      <c r="BL69" s="32">
        <f t="shared" si="99"/>
        <v>42.1857711316391</v>
      </c>
      <c r="BM69" s="31">
        <f t="shared" si="100"/>
        <v>81.2283067056864</v>
      </c>
      <c r="BO69">
        <f t="shared" si="101"/>
        <v>0</v>
      </c>
      <c r="BP69">
        <f t="shared" si="102"/>
        <v>0</v>
      </c>
    </row>
    <row r="70" spans="1:68">
      <c r="B70">
        <f>B69/(2*PI())</f>
        <v>189.470170347495</v>
      </c>
      <c r="C70" t="s">
        <v>111</v>
      </c>
      <c r="N70" s="7">
        <v>52</v>
      </c>
      <c r="O70" s="18">
        <f t="shared" si="62"/>
        <v>33.1131121482591</v>
      </c>
      <c r="P70" s="86" t="str">
        <f t="shared" si="50"/>
        <v>60</v>
      </c>
      <c r="Q70" s="4" t="str">
        <f t="shared" si="51"/>
        <v>1+0,271859604440576i</v>
      </c>
      <c r="R70" s="4">
        <f t="shared" si="63"/>
        <v>1.03629515319072</v>
      </c>
      <c r="S70" s="4">
        <f t="shared" si="64"/>
        <v>0.265444272466554</v>
      </c>
      <c r="T70" s="4" t="str">
        <f t="shared" si="52"/>
        <v>1+0,00326231525328692i</v>
      </c>
      <c r="U70" s="4">
        <f t="shared" si="65"/>
        <v>1.00000532133625</v>
      </c>
      <c r="V70" s="4">
        <f t="shared" si="66"/>
        <v>0.00326230368007909</v>
      </c>
      <c r="W70" t="str">
        <f t="shared" si="53"/>
        <v>1-0,00455122105648287i</v>
      </c>
      <c r="X70" s="4">
        <f t="shared" si="67"/>
        <v>1.00001035675292</v>
      </c>
      <c r="Y70" s="4">
        <f t="shared" si="68"/>
        <v>-0.00455118963279603</v>
      </c>
      <c r="Z70" t="str">
        <f t="shared" si="54"/>
        <v>0,999999991049158+0,00121436662125164i</v>
      </c>
      <c r="AA70" s="4">
        <f t="shared" si="69"/>
        <v>1.00000072839204</v>
      </c>
      <c r="AB70" s="4">
        <f t="shared" si="70"/>
        <v>0.00121436603518515</v>
      </c>
      <c r="AC70" s="67" t="str">
        <f t="shared" si="71"/>
        <v>55,8333640194805-15,3290334647121i</v>
      </c>
      <c r="AD70" s="68">
        <f t="shared" si="72"/>
        <v>35.253485519704</v>
      </c>
      <c r="AE70" s="31">
        <f t="shared" si="73"/>
        <v>-15.3522622822187</v>
      </c>
      <c r="AF70" s="32" t="str">
        <f t="shared" si="74"/>
        <v>326,048966736478</v>
      </c>
      <c r="AG70" s="32" t="str">
        <f t="shared" si="55"/>
        <v>1+0,174766888568942i</v>
      </c>
      <c r="AH70" s="32">
        <f t="shared" si="75"/>
        <v>1.01515686735601</v>
      </c>
      <c r="AI70" s="32">
        <f t="shared" si="76"/>
        <v>0.173019472973134</v>
      </c>
      <c r="AJ70" s="32" t="str">
        <f t="shared" si="56"/>
        <v>1+0,00326231525328692i</v>
      </c>
      <c r="AK70" s="32">
        <f t="shared" si="77"/>
        <v>1.00000532133625</v>
      </c>
      <c r="AL70" s="32">
        <f t="shared" si="78"/>
        <v>0.00326230368007909</v>
      </c>
      <c r="AM70" s="32" t="str">
        <f t="shared" si="57"/>
        <v>1-0,000538395583548438i</v>
      </c>
      <c r="AN70" s="32">
        <f t="shared" si="79"/>
        <v>1.00000014493489</v>
      </c>
      <c r="AO70" s="32">
        <f t="shared" si="80"/>
        <v>-0.000538395531526906</v>
      </c>
      <c r="AP70" s="30" t="str">
        <f t="shared" si="81"/>
        <v>316,536629759597-54,4319907073925i</v>
      </c>
      <c r="AQ70" s="32">
        <f t="shared" si="82"/>
        <v>50.1350409063961</v>
      </c>
      <c r="AR70" s="31">
        <f t="shared" si="83"/>
        <v>-9.75721713424505</v>
      </c>
      <c r="AS70" t="str">
        <f t="shared" si="58"/>
        <v>-0,000100699300699301</v>
      </c>
      <c r="AT70" t="str">
        <f t="shared" si="59"/>
        <v>0,0000467501426921921i</v>
      </c>
      <c r="AU70">
        <f t="shared" si="84"/>
        <v>4.67501426921921e-5</v>
      </c>
      <c r="AV70">
        <f t="shared" si="85"/>
        <v>1.5707963267949</v>
      </c>
      <c r="AW70" t="str">
        <f t="shared" si="60"/>
        <v>1+0,00239352155758321i</v>
      </c>
      <c r="AX70">
        <f t="shared" si="86"/>
        <v>1.00000286446862</v>
      </c>
      <c r="AY70">
        <f t="shared" si="87"/>
        <v>0.00239351698681411</v>
      </c>
      <c r="AZ70" t="str">
        <f t="shared" si="61"/>
        <v>1+0,114430700848712i</v>
      </c>
      <c r="BA70">
        <f t="shared" si="88"/>
        <v>1.00652589896968</v>
      </c>
      <c r="BB70">
        <f t="shared" si="89"/>
        <v>0.113935122078032</v>
      </c>
      <c r="BC70" s="30" t="str">
        <f t="shared" si="90"/>
        <v>-0,241325487437604+2,15456678014943i</v>
      </c>
      <c r="BD70" s="32">
        <f t="shared" si="91"/>
        <v>6.72134448107825</v>
      </c>
      <c r="BE70" s="31">
        <f t="shared" si="92"/>
        <v>96.3908632118417</v>
      </c>
      <c r="BF70" s="30" t="str">
        <f t="shared" si="93"/>
        <v>19,5534124875853+123,995997813182i</v>
      </c>
      <c r="BG70" s="68">
        <f t="shared" si="94"/>
        <v>41.9748300007822</v>
      </c>
      <c r="BH70" s="31">
        <f t="shared" si="95"/>
        <v>81.038600929623</v>
      </c>
      <c r="BI70" s="30" t="str">
        <f t="shared" si="103"/>
        <v>40,8890024869592+695,135133870148i</v>
      </c>
      <c r="BJ70" s="68">
        <f t="shared" si="97"/>
        <v>56.8563853874744</v>
      </c>
      <c r="BK70" s="31">
        <f t="shared" si="104"/>
        <v>86.6336460775967</v>
      </c>
      <c r="BL70" s="32">
        <f t="shared" si="99"/>
        <v>41.9748300007822</v>
      </c>
      <c r="BM70" s="31">
        <f t="shared" si="100"/>
        <v>81.038600929623</v>
      </c>
      <c r="BO70">
        <f t="shared" si="101"/>
        <v>0</v>
      </c>
      <c r="BP70">
        <f t="shared" si="102"/>
        <v>0</v>
      </c>
    </row>
    <row r="71" spans="1:68">
      <c r="A71" t="s">
        <v>346</v>
      </c>
      <c r="B71">
        <f>1/(Cout*Resr)</f>
        <v>63775.5102040816</v>
      </c>
      <c r="C71" t="s">
        <v>304</v>
      </c>
      <c r="N71" s="7">
        <v>53</v>
      </c>
      <c r="O71" s="18">
        <f t="shared" si="62"/>
        <v>33.8844156139203</v>
      </c>
      <c r="P71" s="86" t="str">
        <f t="shared" si="50"/>
        <v>60</v>
      </c>
      <c r="Q71" s="4" t="str">
        <f t="shared" si="51"/>
        <v>1+0,278192028108261i</v>
      </c>
      <c r="R71" s="4">
        <f t="shared" si="63"/>
        <v>1.03797437564855</v>
      </c>
      <c r="S71" s="4">
        <f t="shared" si="64"/>
        <v>0.271331385478874</v>
      </c>
      <c r="T71" s="4" t="str">
        <f t="shared" si="52"/>
        <v>1+0,00333830433729914i</v>
      </c>
      <c r="U71" s="4">
        <f t="shared" si="65"/>
        <v>1.0000055721224</v>
      </c>
      <c r="V71" s="4">
        <f t="shared" si="66"/>
        <v>0.00333829193638726</v>
      </c>
      <c r="W71" t="str">
        <f t="shared" si="53"/>
        <v>1-0,00465723261341955i</v>
      </c>
      <c r="X71" s="4">
        <f t="shared" si="67"/>
        <v>1.000010844849</v>
      </c>
      <c r="Y71" s="4">
        <f t="shared" si="68"/>
        <v>-0.00465719894235219</v>
      </c>
      <c r="Z71" t="str">
        <f t="shared" si="54"/>
        <v>0,999999990627317+0,00124265285358647i</v>
      </c>
      <c r="AA71" s="4">
        <f t="shared" si="69"/>
        <v>1.00000076272008</v>
      </c>
      <c r="AB71" s="4">
        <f t="shared" si="70"/>
        <v>0.00124265222560494</v>
      </c>
      <c r="AC71" s="67" t="str">
        <f t="shared" si="71"/>
        <v>55,6511019147566-15,6353886999034i</v>
      </c>
      <c r="AD71" s="68">
        <f t="shared" si="72"/>
        <v>35.2394283327705</v>
      </c>
      <c r="AE71" s="31">
        <f t="shared" si="73"/>
        <v>-15.6929097703185</v>
      </c>
      <c r="AF71" s="32" t="str">
        <f t="shared" si="74"/>
        <v>326,048966736478</v>
      </c>
      <c r="AG71" s="32" t="str">
        <f t="shared" si="55"/>
        <v>1+0,178837732355311i</v>
      </c>
      <c r="AH71" s="32">
        <f t="shared" si="75"/>
        <v>1.01586560849061</v>
      </c>
      <c r="AI71" s="32">
        <f t="shared" si="76"/>
        <v>0.176966918543099</v>
      </c>
      <c r="AJ71" s="32" t="str">
        <f t="shared" si="56"/>
        <v>1+0,00333830433729914i</v>
      </c>
      <c r="AK71" s="32">
        <f t="shared" si="77"/>
        <v>1.0000055721224</v>
      </c>
      <c r="AL71" s="32">
        <f t="shared" si="78"/>
        <v>0.00333829193638726</v>
      </c>
      <c r="AM71" s="32" t="str">
        <f t="shared" si="57"/>
        <v>1-0,000550936427720027i</v>
      </c>
      <c r="AN71" s="32">
        <f t="shared" si="79"/>
        <v>1.00000015176546</v>
      </c>
      <c r="AO71" s="32">
        <f t="shared" si="80"/>
        <v>-0.000550936371977952</v>
      </c>
      <c r="AP71" s="30" t="str">
        <f t="shared" si="81"/>
        <v>316,10222080253-55,6221859339697i</v>
      </c>
      <c r="AQ71" s="32">
        <f t="shared" si="82"/>
        <v>50.128981125893</v>
      </c>
      <c r="AR71" s="31">
        <f t="shared" si="83"/>
        <v>-9.97975383611205</v>
      </c>
      <c r="AS71" t="str">
        <f t="shared" si="58"/>
        <v>-0,000100699300699301</v>
      </c>
      <c r="AT71" t="str">
        <f t="shared" si="59"/>
        <v>0,0000478390934050456i</v>
      </c>
      <c r="AU71">
        <f t="shared" si="84"/>
        <v>4.78390934050456e-5</v>
      </c>
      <c r="AV71">
        <f t="shared" si="85"/>
        <v>1.5707963267949</v>
      </c>
      <c r="AW71" t="str">
        <f t="shared" si="60"/>
        <v>1+0,00244927383674783i</v>
      </c>
      <c r="AX71">
        <f t="shared" si="86"/>
        <v>1.00000299946667</v>
      </c>
      <c r="AY71">
        <f t="shared" si="87"/>
        <v>0.0024492689390813</v>
      </c>
      <c r="AZ71" t="str">
        <f t="shared" si="61"/>
        <v>1+0,117096134280263i</v>
      </c>
      <c r="BA71">
        <f t="shared" si="88"/>
        <v>1.00683241140886</v>
      </c>
      <c r="BB71">
        <f t="shared" si="89"/>
        <v>0.116565306489372</v>
      </c>
      <c r="BC71" s="30" t="str">
        <f t="shared" si="90"/>
        <v>-0,241325422280866+2,10554945506865i</v>
      </c>
      <c r="BD71" s="32">
        <f t="shared" si="91"/>
        <v>6.52398797758825</v>
      </c>
      <c r="BE71" s="31">
        <f t="shared" si="92"/>
        <v>96.5383673263881</v>
      </c>
      <c r="BF71" s="30" t="str">
        <f t="shared" si="93"/>
        <v>19,491058486894+120,949364091115i</v>
      </c>
      <c r="BG71" s="68">
        <f t="shared" si="94"/>
        <v>41.7634163103588</v>
      </c>
      <c r="BH71" s="31">
        <f t="shared" si="95"/>
        <v>80.8454575560696</v>
      </c>
      <c r="BI71" s="30" t="str">
        <f t="shared" si="103"/>
        <v>40,8317613639069+678,991906265457i</v>
      </c>
      <c r="BJ71" s="68">
        <f t="shared" si="97"/>
        <v>56.6529691034813</v>
      </c>
      <c r="BK71" s="31">
        <f t="shared" si="104"/>
        <v>86.558613490276</v>
      </c>
      <c r="BL71" s="32">
        <f t="shared" si="99"/>
        <v>41.7634163103588</v>
      </c>
      <c r="BM71" s="31">
        <f t="shared" si="100"/>
        <v>80.8454575560696</v>
      </c>
      <c r="BO71">
        <f t="shared" si="101"/>
        <v>0</v>
      </c>
      <c r="BP71">
        <f t="shared" si="102"/>
        <v>0</v>
      </c>
    </row>
    <row r="72" spans="1:68">
      <c r="B72">
        <f>B71/(2*PI())</f>
        <v>10150.1876971872</v>
      </c>
      <c r="C72" t="s">
        <v>111</v>
      </c>
      <c r="N72" s="7">
        <v>54</v>
      </c>
      <c r="O72" s="18">
        <f t="shared" si="62"/>
        <v>34.6736850452532</v>
      </c>
      <c r="P72" s="86" t="str">
        <f t="shared" si="50"/>
        <v>60</v>
      </c>
      <c r="Q72" s="4" t="str">
        <f t="shared" si="51"/>
        <v>1+0,284671952871553i</v>
      </c>
      <c r="R72" s="4">
        <f t="shared" si="63"/>
        <v>1.03972983065396</v>
      </c>
      <c r="S72" s="4">
        <f t="shared" si="64"/>
        <v>0.277335727688189</v>
      </c>
      <c r="T72" s="4" t="str">
        <f t="shared" si="52"/>
        <v>1+0,00341606343445864i</v>
      </c>
      <c r="U72" s="4">
        <f t="shared" si="65"/>
        <v>1.00000583472767</v>
      </c>
      <c r="V72" s="4">
        <f t="shared" si="66"/>
        <v>0.00341605014664634</v>
      </c>
      <c r="W72" t="str">
        <f t="shared" si="53"/>
        <v>1-0,00476571349673359i</v>
      </c>
      <c r="X72" s="4">
        <f t="shared" si="67"/>
        <v>1.00001135594809</v>
      </c>
      <c r="Y72" s="4">
        <f t="shared" si="68"/>
        <v>-0.00476567741755701</v>
      </c>
      <c r="Z72" t="str">
        <f t="shared" si="54"/>
        <v>0,999999990185596+0,00127159795691271i</v>
      </c>
      <c r="AA72" s="4">
        <f t="shared" si="69"/>
        <v>1.00000079866596</v>
      </c>
      <c r="AB72" s="4">
        <f t="shared" si="70"/>
        <v>0.00127159728401841</v>
      </c>
      <c r="AC72" s="67" t="str">
        <f t="shared" si="71"/>
        <v>55,4615089104157-15,945611921961i</v>
      </c>
      <c r="AD72" s="68">
        <f t="shared" si="72"/>
        <v>35.2247572982397</v>
      </c>
      <c r="AE72" s="31">
        <f t="shared" si="73"/>
        <v>-16.0403518088762</v>
      </c>
      <c r="AF72" s="32" t="str">
        <f t="shared" si="74"/>
        <v>326,048966736478</v>
      </c>
      <c r="AG72" s="32" t="str">
        <f t="shared" si="55"/>
        <v>1+0,18300339827457i</v>
      </c>
      <c r="AH72" s="32">
        <f t="shared" si="75"/>
        <v>1.01660722197909</v>
      </c>
      <c r="AI72" s="32">
        <f t="shared" si="76"/>
        <v>0.181000549546695</v>
      </c>
      <c r="AJ72" s="32" t="str">
        <f t="shared" si="56"/>
        <v>1+0,00341606343445864i</v>
      </c>
      <c r="AK72" s="32">
        <f t="shared" si="77"/>
        <v>1.00000583472767</v>
      </c>
      <c r="AL72" s="32">
        <f t="shared" si="78"/>
        <v>0.00341605014664634</v>
      </c>
      <c r="AM72" s="32" t="str">
        <f t="shared" si="57"/>
        <v>1-0,000563769385678093i</v>
      </c>
      <c r="AN72" s="32">
        <f t="shared" si="79"/>
        <v>1.00000015891795</v>
      </c>
      <c r="AO72" s="32">
        <f t="shared" si="80"/>
        <v>-0.000563769325949384</v>
      </c>
      <c r="AP72" s="30" t="str">
        <f t="shared" si="81"/>
        <v>315,648635781753-56,8347854813593i</v>
      </c>
      <c r="AQ72" s="32">
        <f t="shared" si="82"/>
        <v>50.1226448128185</v>
      </c>
      <c r="AR72" s="31">
        <f t="shared" si="83"/>
        <v>-10.2071439255621</v>
      </c>
      <c r="AS72" t="str">
        <f t="shared" si="58"/>
        <v>-0,000100699300699301</v>
      </c>
      <c r="AT72" t="str">
        <f t="shared" si="59"/>
        <v>0,0000489534090384476i</v>
      </c>
      <c r="AU72">
        <f t="shared" si="84"/>
        <v>4.89534090384476e-5</v>
      </c>
      <c r="AV72">
        <f t="shared" si="85"/>
        <v>1.5707963267949</v>
      </c>
      <c r="AW72" t="str">
        <f t="shared" si="60"/>
        <v>1+0,00250632475332064i</v>
      </c>
      <c r="AX72">
        <f t="shared" si="86"/>
        <v>1.00000314082695</v>
      </c>
      <c r="AY72">
        <f t="shared" si="87"/>
        <v>0.00250631950537729</v>
      </c>
      <c r="AZ72" t="str">
        <f t="shared" si="61"/>
        <v>1+0,119823653632159i</v>
      </c>
      <c r="BA72">
        <f t="shared" si="88"/>
        <v>1.00715326935366</v>
      </c>
      <c r="BB72">
        <f t="shared" si="89"/>
        <v>0.119255079365212</v>
      </c>
      <c r="BC72" s="30" t="str">
        <f t="shared" si="90"/>
        <v>-0,241325354053423+2,05764852016416i</v>
      </c>
      <c r="BD72" s="32">
        <f t="shared" si="91"/>
        <v>6.32675433320444</v>
      </c>
      <c r="BE72" s="31">
        <f t="shared" si="92"/>
        <v>96.6892112033549</v>
      </c>
      <c r="BF72" s="30" t="str">
        <f t="shared" si="93"/>
        <v>19,4261965001919+117,968372178254i</v>
      </c>
      <c r="BG72" s="68">
        <f t="shared" si="94"/>
        <v>41.5515116314441</v>
      </c>
      <c r="BH72" s="31">
        <f t="shared" si="95"/>
        <v>80.6488593944787</v>
      </c>
      <c r="BI72" s="30" t="str">
        <f t="shared" si="103"/>
        <v>40,7719934530549+663,209623036999i</v>
      </c>
      <c r="BJ72" s="68">
        <f t="shared" si="97"/>
        <v>56.4493991460229</v>
      </c>
      <c r="BK72" s="31">
        <f t="shared" si="104"/>
        <v>86.4820672777928</v>
      </c>
      <c r="BL72" s="32">
        <f t="shared" si="99"/>
        <v>41.5515116314441</v>
      </c>
      <c r="BM72" s="31">
        <f t="shared" si="100"/>
        <v>80.6488593944787</v>
      </c>
      <c r="BO72">
        <f t="shared" si="101"/>
        <v>0</v>
      </c>
      <c r="BP72">
        <f t="shared" si="102"/>
        <v>0</v>
      </c>
    </row>
    <row r="73" spans="1:68">
      <c r="A73" t="s">
        <v>347</v>
      </c>
      <c r="B73">
        <f>2*Fsw/(DC_VIN_var_DCM)</f>
        <v>386436.713231718</v>
      </c>
      <c r="C73" t="s">
        <v>304</v>
      </c>
      <c r="N73" s="7">
        <v>55</v>
      </c>
      <c r="O73" s="18">
        <f t="shared" si="62"/>
        <v>35.4813389233576</v>
      </c>
      <c r="P73" s="86" t="str">
        <f t="shared" si="50"/>
        <v>60</v>
      </c>
      <c r="Q73" s="4" t="str">
        <f t="shared" si="51"/>
        <v>1+0,291302814472339i</v>
      </c>
      <c r="R73" s="4">
        <f t="shared" si="63"/>
        <v>1.04156484662238</v>
      </c>
      <c r="S73" s="4">
        <f t="shared" si="64"/>
        <v>0.283458750239336</v>
      </c>
      <c r="T73" s="4" t="str">
        <f t="shared" si="52"/>
        <v>1+0,00349563377366807i</v>
      </c>
      <c r="U73" s="4">
        <f t="shared" si="65"/>
        <v>1.00000610970908</v>
      </c>
      <c r="V73" s="4">
        <f t="shared" si="66"/>
        <v>0.00349561953552537</v>
      </c>
      <c r="W73" t="str">
        <f t="shared" si="53"/>
        <v>1-0,00487672122442531i</v>
      </c>
      <c r="X73" s="4">
        <f t="shared" si="67"/>
        <v>1.00001189113425</v>
      </c>
      <c r="Y73" s="4">
        <f t="shared" si="68"/>
        <v>-0.00487668256491591</v>
      </c>
      <c r="Z73" t="str">
        <f t="shared" si="54"/>
        <v>0,999999989723058+0,0013012172783073i</v>
      </c>
      <c r="AA73" s="4">
        <f t="shared" si="69"/>
        <v>1.00000083630591</v>
      </c>
      <c r="AB73" s="4">
        <f t="shared" si="70"/>
        <v>0.0013012165572881</v>
      </c>
      <c r="AC73" s="67" t="str">
        <f t="shared" si="71"/>
        <v>55,2643470316088-16,2595991749159i</v>
      </c>
      <c r="AD73" s="68">
        <f t="shared" si="72"/>
        <v>35.2094478202271</v>
      </c>
      <c r="AE73" s="31">
        <f t="shared" si="73"/>
        <v>-16.3946733545576</v>
      </c>
      <c r="AF73" s="32" t="str">
        <f t="shared" si="74"/>
        <v>326,048966736478</v>
      </c>
      <c r="AG73" s="32" t="str">
        <f t="shared" si="55"/>
        <v>1+0,187266095017932i</v>
      </c>
      <c r="AH73" s="32">
        <f t="shared" si="75"/>
        <v>1.01738320722492</v>
      </c>
      <c r="AI73" s="32">
        <f t="shared" si="76"/>
        <v>0.185121979386406</v>
      </c>
      <c r="AJ73" s="32" t="str">
        <f t="shared" si="56"/>
        <v>1+0,00349563377366807i</v>
      </c>
      <c r="AK73" s="32">
        <f t="shared" si="77"/>
        <v>1.00000610970908</v>
      </c>
      <c r="AL73" s="32">
        <f t="shared" si="78"/>
        <v>0.00349561953552537</v>
      </c>
      <c r="AM73" s="32" t="str">
        <f t="shared" si="57"/>
        <v>1-0,000576901261626821i</v>
      </c>
      <c r="AN73" s="32">
        <f t="shared" si="79"/>
        <v>1.00000016640752</v>
      </c>
      <c r="AO73" s="32">
        <f t="shared" si="80"/>
        <v>-0.000576901197626357</v>
      </c>
      <c r="AP73" s="30" t="str">
        <f t="shared" si="81"/>
        <v>315,175089872122-58,0699586075468i</v>
      </c>
      <c r="AQ73" s="32">
        <f t="shared" si="82"/>
        <v>50.1160197793462</v>
      </c>
      <c r="AR73" s="31">
        <f t="shared" si="83"/>
        <v>-10.4394778715998</v>
      </c>
      <c r="AS73" t="str">
        <f t="shared" si="58"/>
        <v>-0,000100699300699301</v>
      </c>
      <c r="AT73" t="str">
        <f t="shared" si="59"/>
        <v>0,0000500936804172967i</v>
      </c>
      <c r="AU73">
        <f t="shared" si="84"/>
        <v>5.00936804172967e-5</v>
      </c>
      <c r="AV73">
        <f t="shared" si="85"/>
        <v>1.5707963267949</v>
      </c>
      <c r="AW73" t="str">
        <f t="shared" si="60"/>
        <v>1+0,00256470455645281i</v>
      </c>
      <c r="AX73">
        <f t="shared" si="86"/>
        <v>1.00000328884932</v>
      </c>
      <c r="AY73">
        <f t="shared" si="87"/>
        <v>0.00256469893318119</v>
      </c>
      <c r="AZ73" t="str">
        <f t="shared" si="61"/>
        <v>1+0,122614705071265i</v>
      </c>
      <c r="BA73">
        <f t="shared" si="88"/>
        <v>1.00748913934579</v>
      </c>
      <c r="BB73">
        <f t="shared" si="89"/>
        <v>0.1220057110935</v>
      </c>
      <c r="BC73" s="30" t="str">
        <f t="shared" si="90"/>
        <v>-0,241325282610563+2,01083857772513i</v>
      </c>
      <c r="BD73" s="32">
        <f t="shared" si="91"/>
        <v>6.12964917407951</v>
      </c>
      <c r="BE73" s="31">
        <f t="shared" si="92"/>
        <v>96.843465897557</v>
      </c>
      <c r="BF73" s="30" t="str">
        <f t="shared" si="93"/>
        <v>19,3587451135774+115,051533349969i</v>
      </c>
      <c r="BG73" s="68">
        <f t="shared" si="94"/>
        <v>41.3390969943066</v>
      </c>
      <c r="BH73" s="31">
        <f t="shared" si="95"/>
        <v>80.4487925429994</v>
      </c>
      <c r="BI73" s="30" t="str">
        <f t="shared" si="103"/>
        <v>40,7095953397572+647,779978624998i</v>
      </c>
      <c r="BJ73" s="68">
        <f t="shared" si="97"/>
        <v>56.2456689534257</v>
      </c>
      <c r="BK73" s="31">
        <f t="shared" si="104"/>
        <v>86.4039880259572</v>
      </c>
      <c r="BL73" s="32">
        <f t="shared" si="99"/>
        <v>41.3390969943066</v>
      </c>
      <c r="BM73" s="31">
        <f t="shared" si="100"/>
        <v>80.4487925429994</v>
      </c>
      <c r="BO73">
        <f t="shared" si="101"/>
        <v>0</v>
      </c>
      <c r="BP73">
        <f t="shared" si="102"/>
        <v>0</v>
      </c>
    </row>
    <row r="74" spans="1:68">
      <c r="B74">
        <f>B73/(2*PI())</f>
        <v>61503.3131030132</v>
      </c>
      <c r="C74" t="s">
        <v>111</v>
      </c>
      <c r="N74" s="7">
        <v>56</v>
      </c>
      <c r="O74" s="18">
        <f t="shared" si="62"/>
        <v>36.3078054770102</v>
      </c>
      <c r="P74" s="86" t="str">
        <f t="shared" si="50"/>
        <v>60</v>
      </c>
      <c r="Q74" s="4" t="str">
        <f t="shared" si="51"/>
        <v>1+0,298088128681204i</v>
      </c>
      <c r="R74" s="4">
        <f t="shared" si="63"/>
        <v>1.04348288556193</v>
      </c>
      <c r="S74" s="4">
        <f t="shared" si="64"/>
        <v>0.289701862443607</v>
      </c>
      <c r="T74" s="4" t="str">
        <f t="shared" si="52"/>
        <v>1+0,00357705754417445i</v>
      </c>
      <c r="U74" s="4">
        <f t="shared" si="65"/>
        <v>1.00000639764987</v>
      </c>
      <c r="V74" s="4">
        <f t="shared" si="66"/>
        <v>0.00357704228773495</v>
      </c>
      <c r="W74" t="str">
        <f t="shared" si="53"/>
        <v>1-0,00499031465426124i</v>
      </c>
      <c r="X74" s="4">
        <f t="shared" si="67"/>
        <v>1.00001245154265</v>
      </c>
      <c r="Y74" s="4">
        <f t="shared" si="68"/>
        <v>-0.00499027322987845</v>
      </c>
      <c r="Z74" t="str">
        <f t="shared" si="54"/>
        <v>0,99999998923872+0,0013315265223265i</v>
      </c>
      <c r="AA74" s="4">
        <f t="shared" si="69"/>
        <v>1.00000087571978</v>
      </c>
      <c r="AB74" s="4">
        <f t="shared" si="70"/>
        <v>0.00133152574974054</v>
      </c>
      <c r="AC74" s="67" t="str">
        <f t="shared" si="71"/>
        <v>55,0593756169749-16,5772343987266i</v>
      </c>
      <c r="AD74" s="68">
        <f t="shared" si="72"/>
        <v>35.1934745127953</v>
      </c>
      <c r="AE74" s="31">
        <f t="shared" si="73"/>
        <v>-16.7559570093334</v>
      </c>
      <c r="AF74" s="32" t="str">
        <f t="shared" si="74"/>
        <v>326,048966736478</v>
      </c>
      <c r="AG74" s="32" t="str">
        <f t="shared" si="55"/>
        <v>1+0,191628082723632i</v>
      </c>
      <c r="AH74" s="32">
        <f t="shared" si="75"/>
        <v>1.01819512967227</v>
      </c>
      <c r="AI74" s="32">
        <f t="shared" si="76"/>
        <v>0.189332832965814</v>
      </c>
      <c r="AJ74" s="32" t="str">
        <f t="shared" si="56"/>
        <v>1+0,00357705754417445i</v>
      </c>
      <c r="AK74" s="32">
        <f t="shared" si="77"/>
        <v>1.00000639764987</v>
      </c>
      <c r="AL74" s="32">
        <f t="shared" si="78"/>
        <v>0.00357704228773495</v>
      </c>
      <c r="AM74" s="32" t="str">
        <f t="shared" si="57"/>
        <v>1-0,000590339018260651i</v>
      </c>
      <c r="AN74" s="32">
        <f t="shared" si="79"/>
        <v>1.00000017425006</v>
      </c>
      <c r="AO74" s="32">
        <f t="shared" si="80"/>
        <v>-0.000590338949682919</v>
      </c>
      <c r="AP74" s="30" t="str">
        <f t="shared" si="81"/>
        <v>314,680771854943-59,3278564912485i</v>
      </c>
      <c r="AQ74" s="32">
        <f t="shared" si="82"/>
        <v>50.1090933406136</v>
      </c>
      <c r="AR74" s="31">
        <f t="shared" si="83"/>
        <v>-10.6768467562685</v>
      </c>
      <c r="AS74" t="str">
        <f t="shared" si="58"/>
        <v>-0,000100699300699301</v>
      </c>
      <c r="AT74" t="str">
        <f t="shared" si="59"/>
        <v>0,0000512605121285714i</v>
      </c>
      <c r="AU74">
        <f t="shared" si="84"/>
        <v>5.12605121285714e-5</v>
      </c>
      <c r="AV74">
        <f t="shared" si="85"/>
        <v>1.5707963267949</v>
      </c>
      <c r="AW74" t="str">
        <f t="shared" si="60"/>
        <v>1+0,00262444419988867i</v>
      </c>
      <c r="AX74">
        <f t="shared" si="86"/>
        <v>1.00000344384775</v>
      </c>
      <c r="AY74">
        <f t="shared" si="87"/>
        <v>0.0026244381744457</v>
      </c>
      <c r="AZ74" t="str">
        <f t="shared" si="61"/>
        <v>1+0,125470768449997i</v>
      </c>
      <c r="BA74">
        <f t="shared" si="88"/>
        <v>1.00784071843493</v>
      </c>
      <c r="BB74">
        <f t="shared" si="89"/>
        <v>0.124818493516557</v>
      </c>
      <c r="BC74" s="30" t="str">
        <f t="shared" si="90"/>
        <v>-0,241325207800747+1,96509480849933i</v>
      </c>
      <c r="BD74" s="32">
        <f t="shared" si="91"/>
        <v>5.9326783760462</v>
      </c>
      <c r="BE74" s="31">
        <f t="shared" si="92"/>
        <v>97.001203652691</v>
      </c>
      <c r="BF74" s="30" t="str">
        <f t="shared" si="93"/>
        <v>19,2886219940683+112,197397720166i</v>
      </c>
      <c r="BG74" s="68">
        <f t="shared" si="94"/>
        <v>41.1261528888415</v>
      </c>
      <c r="BH74" s="31">
        <f t="shared" si="95"/>
        <v>80.2452466433575</v>
      </c>
      <c r="BI74" s="30" t="str">
        <f t="shared" si="103"/>
        <v>40,6444601315521+632,694858402834i</v>
      </c>
      <c r="BJ74" s="68">
        <f t="shared" si="97"/>
        <v>56.0417717166598</v>
      </c>
      <c r="BK74" s="31">
        <f t="shared" si="104"/>
        <v>86.3243568964225</v>
      </c>
      <c r="BL74" s="32">
        <f t="shared" si="99"/>
        <v>41.1261528888415</v>
      </c>
      <c r="BM74" s="31">
        <f t="shared" si="100"/>
        <v>80.2452466433575</v>
      </c>
      <c r="BO74">
        <f t="shared" si="101"/>
        <v>0</v>
      </c>
      <c r="BP74">
        <f t="shared" si="102"/>
        <v>0</v>
      </c>
    </row>
    <row r="75" spans="1:68">
      <c r="N75" s="7">
        <v>57</v>
      </c>
      <c r="O75" s="18">
        <f t="shared" si="62"/>
        <v>37.1535229097173</v>
      </c>
      <c r="P75" s="86" t="str">
        <f t="shared" si="50"/>
        <v>60</v>
      </c>
      <c r="Q75" s="4" t="str">
        <f t="shared" si="51"/>
        <v>1+0,30503149316156i</v>
      </c>
      <c r="R75" s="4">
        <f t="shared" si="63"/>
        <v>1.04548754742482</v>
      </c>
      <c r="S75" s="4">
        <f t="shared" si="64"/>
        <v>0.296066427068205</v>
      </c>
      <c r="T75" s="4" t="str">
        <f t="shared" si="52"/>
        <v>1+0,00366037791793872i</v>
      </c>
      <c r="U75" s="4">
        <f t="shared" si="65"/>
        <v>1.00000669916081</v>
      </c>
      <c r="V75" s="4">
        <f t="shared" si="66"/>
        <v>0.00366036157037518</v>
      </c>
      <c r="W75" t="str">
        <f t="shared" si="53"/>
        <v>1-0,00510655401498148i</v>
      </c>
      <c r="X75" s="4">
        <f t="shared" si="67"/>
        <v>1.00001303836195</v>
      </c>
      <c r="Y75" s="4">
        <f t="shared" si="68"/>
        <v>-0.00510650962798687</v>
      </c>
      <c r="Z75" t="str">
        <f t="shared" si="54"/>
        <v>0,999999988731557+0,00136254175933267i</v>
      </c>
      <c r="AA75" s="4">
        <f t="shared" si="69"/>
        <v>1.00000091699116</v>
      </c>
      <c r="AB75" s="4">
        <f t="shared" si="70"/>
        <v>0.00136254093149194</v>
      </c>
      <c r="AC75" s="67" t="str">
        <f t="shared" si="71"/>
        <v>54,8463517814196-16,8983888677958i</v>
      </c>
      <c r="AD75" s="68">
        <f t="shared" si="72"/>
        <v>35.1768111918594</v>
      </c>
      <c r="AE75" s="31">
        <f t="shared" si="73"/>
        <v>-17.1242827515665</v>
      </c>
      <c r="AF75" s="32" t="str">
        <f t="shared" si="74"/>
        <v>326,048966736478</v>
      </c>
      <c r="AG75" s="32" t="str">
        <f t="shared" si="55"/>
        <v>1+0,196091674175289i</v>
      </c>
      <c r="AH75" s="32">
        <f t="shared" si="75"/>
        <v>1.01904462349834</v>
      </c>
      <c r="AI75" s="32">
        <f t="shared" si="76"/>
        <v>0.193634745334211</v>
      </c>
      <c r="AJ75" s="32" t="str">
        <f t="shared" si="56"/>
        <v>1+0,00366037791793872i</v>
      </c>
      <c r="AK75" s="32">
        <f t="shared" si="77"/>
        <v>1.00000669916081</v>
      </c>
      <c r="AL75" s="32">
        <f t="shared" si="78"/>
        <v>0.00366036157037518</v>
      </c>
      <c r="AM75" s="32" t="str">
        <f t="shared" si="57"/>
        <v>1-0,000604089780456024i</v>
      </c>
      <c r="AN75" s="32">
        <f t="shared" si="79"/>
        <v>1.00000018246221</v>
      </c>
      <c r="AO75" s="32">
        <f t="shared" si="80"/>
        <v>-0.000604089706973661</v>
      </c>
      <c r="AP75" s="30" t="str">
        <f t="shared" si="81"/>
        <v>314,164843774236-60,6086105934328i</v>
      </c>
      <c r="AQ75" s="32">
        <f t="shared" si="82"/>
        <v>50.1018522981757</v>
      </c>
      <c r="AR75" s="31">
        <f t="shared" si="83"/>
        <v>-10.9193421959233</v>
      </c>
      <c r="AS75" t="str">
        <f t="shared" si="58"/>
        <v>-0,000100699300699301</v>
      </c>
      <c r="AT75" t="str">
        <f t="shared" si="59"/>
        <v>0,0000524545228418897i</v>
      </c>
      <c r="AU75">
        <f t="shared" si="84"/>
        <v>5.24545228418897e-5</v>
      </c>
      <c r="AV75">
        <f t="shared" si="85"/>
        <v>1.5707963267949</v>
      </c>
      <c r="AW75" t="str">
        <f t="shared" si="60"/>
        <v>1+0,00268557535837795i</v>
      </c>
      <c r="AX75">
        <f t="shared" si="86"/>
        <v>1.000003606151</v>
      </c>
      <c r="AY75">
        <f t="shared" si="87"/>
        <v>0.00268556890200074</v>
      </c>
      <c r="AZ75" t="str">
        <f t="shared" si="61"/>
        <v>1+0,128393358090963i</v>
      </c>
      <c r="BA75">
        <f t="shared" si="88"/>
        <v>1.00820873553142</v>
      </c>
      <c r="BB75">
        <f t="shared" si="89"/>
        <v>0.127694739881487</v>
      </c>
      <c r="BC75" s="30" t="str">
        <f t="shared" si="90"/>
        <v>-0,241325129465305+1,92039295853359i</v>
      </c>
      <c r="BD75" s="32">
        <f t="shared" si="91"/>
        <v>5.73584807494256</v>
      </c>
      <c r="BE75" s="31">
        <f t="shared" si="92"/>
        <v>97.1624978975539</v>
      </c>
      <c r="BF75" s="30" t="str">
        <f t="shared" si="93"/>
        <v>19,2157440479267+109,40455364357i</v>
      </c>
      <c r="BG75" s="68">
        <f t="shared" si="94"/>
        <v>40.912659266802</v>
      </c>
      <c r="BH75" s="31">
        <f t="shared" si="95"/>
        <v>80.0382151459874</v>
      </c>
      <c r="BI75" s="30" t="str">
        <f t="shared" si="103"/>
        <v>40,5764774128679+617,946334601021i</v>
      </c>
      <c r="BJ75" s="68">
        <f t="shared" si="97"/>
        <v>55.8377003731183</v>
      </c>
      <c r="BK75" s="31">
        <f t="shared" si="104"/>
        <v>86.2431557016306</v>
      </c>
      <c r="BL75" s="32">
        <f t="shared" si="99"/>
        <v>40.912659266802</v>
      </c>
      <c r="BM75" s="31">
        <f t="shared" si="100"/>
        <v>80.0382151459874</v>
      </c>
      <c r="BO75">
        <f t="shared" si="101"/>
        <v>0</v>
      </c>
      <c r="BP75">
        <f t="shared" si="102"/>
        <v>0</v>
      </c>
    </row>
    <row r="76" spans="1:68">
      <c r="N76" s="7">
        <v>58</v>
      </c>
      <c r="O76" s="18">
        <f t="shared" si="62"/>
        <v>38.0189396320561</v>
      </c>
      <c r="P76" s="86" t="str">
        <f t="shared" si="50"/>
        <v>60</v>
      </c>
      <c r="Q76" s="4" t="str">
        <f t="shared" si="51"/>
        <v>1+0,312136589377159i</v>
      </c>
      <c r="R76" s="4">
        <f t="shared" si="63"/>
        <v>1.04758257451525</v>
      </c>
      <c r="S76" s="4">
        <f t="shared" si="64"/>
        <v>0.302553755412534</v>
      </c>
      <c r="T76" s="4" t="str">
        <f t="shared" si="52"/>
        <v>1+0,00374563907252591i</v>
      </c>
      <c r="U76" s="4">
        <f t="shared" si="65"/>
        <v>1.00000701488143</v>
      </c>
      <c r="V76" s="4">
        <f t="shared" si="66"/>
        <v>0.00374562155580262</v>
      </c>
      <c r="W76" t="str">
        <f t="shared" si="53"/>
        <v>1-0,00522550093823369i</v>
      </c>
      <c r="X76" s="4">
        <f t="shared" si="67"/>
        <v>1.00001365283683</v>
      </c>
      <c r="Y76" s="4">
        <f t="shared" si="68"/>
        <v>-0.00522545337674713</v>
      </c>
      <c r="Z76" t="str">
        <f t="shared" si="54"/>
        <v>0,999999988200492+0,00139427943401501i</v>
      </c>
      <c r="AA76" s="4">
        <f t="shared" si="69"/>
        <v>1.0000009602076</v>
      </c>
      <c r="AB76" s="4">
        <f t="shared" si="70"/>
        <v>0.00139427854696773</v>
      </c>
      <c r="AC76" s="67" t="str">
        <f t="shared" si="71"/>
        <v>54,6250309299577-17,2229206322597i</v>
      </c>
      <c r="AD76" s="68">
        <f t="shared" si="72"/>
        <v>35.1594308687075</v>
      </c>
      <c r="AE76" s="31">
        <f t="shared" si="73"/>
        <v>-17.4997276549078</v>
      </c>
      <c r="AF76" s="32" t="str">
        <f t="shared" si="74"/>
        <v>326,048966736478</v>
      </c>
      <c r="AG76" s="32" t="str">
        <f t="shared" si="55"/>
        <v>1+0,200659236028174i</v>
      </c>
      <c r="AH76" s="32">
        <f t="shared" si="75"/>
        <v>1.01993339439564</v>
      </c>
      <c r="AI76" s="32">
        <f t="shared" si="76"/>
        <v>0.198029360210549</v>
      </c>
      <c r="AJ76" s="32" t="str">
        <f t="shared" si="56"/>
        <v>1+0,00374563907252591i</v>
      </c>
      <c r="AK76" s="32">
        <f t="shared" si="77"/>
        <v>1.00000701488143</v>
      </c>
      <c r="AL76" s="32">
        <f t="shared" si="78"/>
        <v>0.00374562155580262</v>
      </c>
      <c r="AM76" s="32" t="str">
        <f t="shared" si="57"/>
        <v>1-0,000618160839049068i</v>
      </c>
      <c r="AN76" s="32">
        <f t="shared" si="79"/>
        <v>1.00000019106139</v>
      </c>
      <c r="AO76" s="32">
        <f t="shared" si="80"/>
        <v>-0.000618160760311298</v>
      </c>
      <c r="AP76" s="30" t="str">
        <f t="shared" si="81"/>
        <v>313,626440647133-61,9123309319732i</v>
      </c>
      <c r="AQ76" s="32">
        <f t="shared" si="82"/>
        <v>50.0942829232622</v>
      </c>
      <c r="AR76" s="31">
        <f t="shared" si="83"/>
        <v>-11.1670562555661</v>
      </c>
      <c r="AS76" t="str">
        <f t="shared" si="58"/>
        <v>-0,000100699300699301</v>
      </c>
      <c r="AT76" t="str">
        <f t="shared" si="59"/>
        <v>0,0000536763456375364i</v>
      </c>
      <c r="AU76">
        <f t="shared" si="84"/>
        <v>5.36763456375364e-5</v>
      </c>
      <c r="AV76">
        <f t="shared" si="85"/>
        <v>1.5707963267949</v>
      </c>
      <c r="AW76" t="str">
        <f t="shared" si="60"/>
        <v>1+0,00274813044447003i</v>
      </c>
      <c r="AX76">
        <f t="shared" si="86"/>
        <v>1.00000377610334</v>
      </c>
      <c r="AY76">
        <f t="shared" si="87"/>
        <v>0.00274812352633862</v>
      </c>
      <c r="AZ76" t="str">
        <f t="shared" si="61"/>
        <v>1+0,131384023589875i</v>
      </c>
      <c r="BA76">
        <f t="shared" si="88"/>
        <v>1.00859395281484</v>
      </c>
      <c r="BB76">
        <f t="shared" si="89"/>
        <v>0.130635784753975</v>
      </c>
      <c r="BC76" s="30" t="str">
        <f t="shared" si="90"/>
        <v>-0,241325047438079+1,87670932631404i</v>
      </c>
      <c r="BD76" s="32">
        <f t="shared" si="91"/>
        <v>5.53916467729213</v>
      </c>
      <c r="BE76" s="31">
        <f t="shared" si="92"/>
        <v>97.3274232401424</v>
      </c>
      <c r="BF76" s="30" t="str">
        <f t="shared" si="93"/>
        <v>19,1400275964497+106,671627135047i</v>
      </c>
      <c r="BG76" s="68">
        <f t="shared" si="94"/>
        <v>40.6985955459996</v>
      </c>
      <c r="BH76" s="31">
        <f t="shared" si="95"/>
        <v>79.8276955852347</v>
      </c>
      <c r="BI76" s="30" t="str">
        <f t="shared" si="103"/>
        <v>40,5055332068701+603,526662340312i</v>
      </c>
      <c r="BJ76" s="68">
        <f t="shared" si="97"/>
        <v>55.6334476005543</v>
      </c>
      <c r="BK76" s="31">
        <f t="shared" si="104"/>
        <v>86.1603669845763</v>
      </c>
      <c r="BL76" s="32">
        <f t="shared" si="99"/>
        <v>40.6985955459996</v>
      </c>
      <c r="BM76" s="31">
        <f t="shared" si="100"/>
        <v>79.8276955852347</v>
      </c>
      <c r="BO76">
        <f t="shared" si="101"/>
        <v>0</v>
      </c>
      <c r="BP76">
        <f t="shared" si="102"/>
        <v>0</v>
      </c>
    </row>
    <row r="77" spans="1:68">
      <c r="A77" s="30" t="str">
        <f>"Crossover Frequency = "&amp;B77</f>
        <v>Crossover Frequency = 1,9 kHz</v>
      </c>
      <c r="B77" s="32" t="str">
        <f>ROUND(D77,1)&amp;" kHz"</f>
        <v>1,9 kHz</v>
      </c>
      <c r="C77" s="91"/>
      <c r="D77" s="92">
        <f>BP12</f>
        <v>1.86208713666287</v>
      </c>
      <c r="N77" s="7">
        <v>59</v>
      </c>
      <c r="O77" s="18">
        <f t="shared" si="62"/>
        <v>38.9045144994281</v>
      </c>
      <c r="P77" s="86" t="str">
        <f t="shared" si="50"/>
        <v>60</v>
      </c>
      <c r="Q77" s="4" t="str">
        <f t="shared" si="51"/>
        <v>1+0,319407184544062i</v>
      </c>
      <c r="R77" s="4">
        <f t="shared" si="63"/>
        <v>1.04977185594698</v>
      </c>
      <c r="S77" s="4">
        <f t="shared" si="64"/>
        <v>0.309165102173097</v>
      </c>
      <c r="T77" s="4" t="str">
        <f t="shared" si="52"/>
        <v>1+0,00383288621452875i</v>
      </c>
      <c r="U77" s="4">
        <f t="shared" si="65"/>
        <v>1.00000734548139</v>
      </c>
      <c r="V77" s="4">
        <f t="shared" si="66"/>
        <v>0.00383286744502902</v>
      </c>
      <c r="W77" t="str">
        <f t="shared" si="53"/>
        <v>1-0,00534721849125104i</v>
      </c>
      <c r="X77" s="4">
        <f t="shared" si="67"/>
        <v>1.0000142962706</v>
      </c>
      <c r="Y77" s="4">
        <f t="shared" si="68"/>
        <v>-0.00534716752823936</v>
      </c>
      <c r="Z77" t="str">
        <f t="shared" si="54"/>
        <v>0,999999987644398+0,00142675637410874i</v>
      </c>
      <c r="AA77" s="4">
        <f t="shared" si="69"/>
        <v>1.00000100546077</v>
      </c>
      <c r="AB77" s="4">
        <f t="shared" si="70"/>
        <v>0.00142675542362051</v>
      </c>
      <c r="AC77" s="67" t="str">
        <f t="shared" si="71"/>
        <v>54,395167324924-17,5506739656298i</v>
      </c>
      <c r="AD77" s="68">
        <f t="shared" si="72"/>
        <v>35.1413057453067</v>
      </c>
      <c r="AE77" s="31">
        <f t="shared" si="73"/>
        <v>-17.8823655951045</v>
      </c>
      <c r="AF77" s="32" t="str">
        <f t="shared" si="74"/>
        <v>326,048966736478</v>
      </c>
      <c r="AG77" s="32" t="str">
        <f t="shared" si="55"/>
        <v>1+0,20533319006404i</v>
      </c>
      <c r="AH77" s="32">
        <f t="shared" si="75"/>
        <v>1.02086322244553</v>
      </c>
      <c r="AI77" s="32">
        <f t="shared" si="76"/>
        <v>0.202518328380434</v>
      </c>
      <c r="AJ77" s="32" t="str">
        <f t="shared" si="56"/>
        <v>1+0,00383288621452875i</v>
      </c>
      <c r="AK77" s="32">
        <f t="shared" si="77"/>
        <v>1.00000734548139</v>
      </c>
      <c r="AL77" s="32">
        <f t="shared" si="78"/>
        <v>0.00383286744502902</v>
      </c>
      <c r="AM77" s="32" t="str">
        <f t="shared" si="57"/>
        <v>1-0,000632559654701303i</v>
      </c>
      <c r="AN77" s="32">
        <f t="shared" si="79"/>
        <v>1.00000020006584</v>
      </c>
      <c r="AO77" s="32">
        <f t="shared" si="80"/>
        <v>-0.000632559570332263</v>
      </c>
      <c r="AP77" s="30" t="str">
        <f t="shared" si="81"/>
        <v>313,064670235617-63,239104267775i</v>
      </c>
      <c r="AQ77" s="32">
        <f t="shared" si="82"/>
        <v>50.0863709398725</v>
      </c>
      <c r="AR77" s="31">
        <f t="shared" si="83"/>
        <v>-11.4200813558807</v>
      </c>
      <c r="AS77" t="str">
        <f t="shared" si="58"/>
        <v>-0,000100699300699301</v>
      </c>
      <c r="AT77" t="str">
        <f t="shared" si="59"/>
        <v>0,0000549266283421307i</v>
      </c>
      <c r="AU77">
        <f t="shared" si="84"/>
        <v>5.49266283421307e-5</v>
      </c>
      <c r="AV77">
        <f t="shared" si="85"/>
        <v>1.5707963267949</v>
      </c>
      <c r="AW77" t="str">
        <f t="shared" si="60"/>
        <v>1+0,00281214262569958i</v>
      </c>
      <c r="AX77">
        <f t="shared" si="86"/>
        <v>1.00000395406526</v>
      </c>
      <c r="AY77">
        <f t="shared" si="87"/>
        <v>0.0028121352127898</v>
      </c>
      <c r="AZ77" t="str">
        <f t="shared" si="61"/>
        <v>1+0,134444350637169i</v>
      </c>
      <c r="BA77">
        <f t="shared" si="88"/>
        <v>1.00899716720031</v>
      </c>
      <c r="BB77">
        <f t="shared" si="89"/>
        <v>0.133642983892529</v>
      </c>
      <c r="BC77" s="30" t="str">
        <f t="shared" si="90"/>
        <v>-0,241324961545091+1,83402075019923i</v>
      </c>
      <c r="BD77" s="32">
        <f t="shared" si="91"/>
        <v>5.34263487134406</v>
      </c>
      <c r="BE77" s="31">
        <f t="shared" si="92"/>
        <v>97.4960554594638</v>
      </c>
      <c r="BF77" s="30" t="str">
        <f t="shared" si="93"/>
        <v>19,0613885700204+103,997281304316i</v>
      </c>
      <c r="BG77" s="68">
        <f t="shared" si="94"/>
        <v>40.4839406166507</v>
      </c>
      <c r="BH77" s="31">
        <f t="shared" si="95"/>
        <v>79.6136898643593</v>
      </c>
      <c r="BI77" s="30" t="str">
        <f t="shared" si="103"/>
        <v>40,4315099453752+589,428275771968i</v>
      </c>
      <c r="BJ77" s="68">
        <f t="shared" si="97"/>
        <v>55.4290058112166</v>
      </c>
      <c r="BK77" s="31">
        <f t="shared" si="104"/>
        <v>86.0759741035831</v>
      </c>
      <c r="BL77" s="32">
        <f t="shared" si="99"/>
        <v>40.4839406166507</v>
      </c>
      <c r="BM77" s="31">
        <f t="shared" si="100"/>
        <v>79.6136898643593</v>
      </c>
      <c r="BO77">
        <f t="shared" si="101"/>
        <v>0</v>
      </c>
      <c r="BP77">
        <f t="shared" si="102"/>
        <v>0</v>
      </c>
    </row>
    <row r="78" spans="1:68">
      <c r="A78" s="30" t="str">
        <f>"Phase Margin = "&amp;B78</f>
        <v>Phase Margin = 69°</v>
      </c>
      <c r="B78" s="93" t="str">
        <f>ROUND(D78,0)&amp;"°"</f>
        <v>69°</v>
      </c>
      <c r="C78" s="94"/>
      <c r="D78" s="18">
        <f>BP14</f>
        <v>69.3764599719982</v>
      </c>
      <c r="N78" s="7">
        <v>60</v>
      </c>
      <c r="O78" s="18">
        <f t="shared" si="62"/>
        <v>39.8107170553498</v>
      </c>
      <c r="P78" s="86" t="str">
        <f t="shared" si="50"/>
        <v>60</v>
      </c>
      <c r="Q78" s="4" t="str">
        <f t="shared" si="51"/>
        <v>1+0,326847133628065i</v>
      </c>
      <c r="R78" s="4">
        <f t="shared" si="63"/>
        <v>1.05205943214292</v>
      </c>
      <c r="S78" s="4">
        <f t="shared" si="64"/>
        <v>0.315901660100134</v>
      </c>
      <c r="T78" s="4" t="str">
        <f t="shared" si="52"/>
        <v>1+0,00392216560353678i</v>
      </c>
      <c r="U78" s="4">
        <f t="shared" si="65"/>
        <v>1.00000769166193</v>
      </c>
      <c r="V78" s="4">
        <f t="shared" si="66"/>
        <v>0.00392214549166383</v>
      </c>
      <c r="W78" t="str">
        <f t="shared" si="53"/>
        <v>1-0,00547177121029127i</v>
      </c>
      <c r="X78" s="4">
        <f t="shared" si="67"/>
        <v>1.00001497002804</v>
      </c>
      <c r="Y78" s="4">
        <f t="shared" si="68"/>
        <v>-0.00547171660248455</v>
      </c>
      <c r="Z78" t="str">
        <f t="shared" si="54"/>
        <v>0,999999987062096+0,00145998979931737i</v>
      </c>
      <c r="AA78" s="4">
        <f t="shared" si="69"/>
        <v>1.00000105284665</v>
      </c>
      <c r="AB78" s="4">
        <f t="shared" si="70"/>
        <v>0.00145998878085094</v>
      </c>
      <c r="AC78" s="67" t="str">
        <f t="shared" si="71"/>
        <v>54,1565147087115-17,8814788227368i</v>
      </c>
      <c r="AD78" s="68">
        <f t="shared" si="72"/>
        <v>35.1224072115766</v>
      </c>
      <c r="AE78" s="31">
        <f t="shared" si="73"/>
        <v>-18.2722669448986</v>
      </c>
      <c r="AF78" s="32" t="str">
        <f t="shared" si="74"/>
        <v>326,048966736478</v>
      </c>
      <c r="AG78" s="32" t="str">
        <f t="shared" si="55"/>
        <v>1+0,210116014475185i</v>
      </c>
      <c r="AH78" s="32">
        <f t="shared" si="75"/>
        <v>1.0218359650839</v>
      </c>
      <c r="AI78" s="32">
        <f t="shared" si="76"/>
        <v>0.207103305959777</v>
      </c>
      <c r="AJ78" s="32" t="str">
        <f t="shared" si="56"/>
        <v>1+0,00392216560353678i</v>
      </c>
      <c r="AK78" s="32">
        <f t="shared" si="77"/>
        <v>1.00000769166193</v>
      </c>
      <c r="AL78" s="32">
        <f t="shared" si="78"/>
        <v>0.00392214549166383</v>
      </c>
      <c r="AM78" s="32" t="str">
        <f t="shared" si="57"/>
        <v>1-0,000647293861855378i</v>
      </c>
      <c r="AN78" s="32">
        <f t="shared" si="79"/>
        <v>1.00000020949465</v>
      </c>
      <c r="AO78" s="32">
        <f t="shared" si="80"/>
        <v>-0.000647293771452324</v>
      </c>
      <c r="AP78" s="30" t="str">
        <f t="shared" si="81"/>
        <v>312,478612887295-64,5889922010429i</v>
      </c>
      <c r="AQ78" s="32">
        <f t="shared" si="82"/>
        <v>50.078101507752</v>
      </c>
      <c r="AR78" s="31">
        <f t="shared" si="83"/>
        <v>-11.6785101726025</v>
      </c>
      <c r="AS78" t="str">
        <f t="shared" si="58"/>
        <v>-0,000100699300699301</v>
      </c>
      <c r="AT78" t="str">
        <f t="shared" si="59"/>
        <v>0,0000562060338721118i</v>
      </c>
      <c r="AU78">
        <f t="shared" si="84"/>
        <v>5.62060338721118e-5</v>
      </c>
      <c r="AV78">
        <f t="shared" si="85"/>
        <v>1.5707963267949</v>
      </c>
      <c r="AW78" t="str">
        <f t="shared" si="60"/>
        <v>1+0,00287764584217238i</v>
      </c>
      <c r="AX78">
        <f t="shared" si="86"/>
        <v>1.00000414041423</v>
      </c>
      <c r="AY78">
        <f t="shared" si="87"/>
        <v>0.00287763789909821</v>
      </c>
      <c r="AZ78" t="str">
        <f t="shared" si="61"/>
        <v>1+0,137575961858752i</v>
      </c>
      <c r="BA78">
        <f t="shared" si="88"/>
        <v>1.00941921186461</v>
      </c>
      <c r="BB78">
        <f t="shared" si="89"/>
        <v>0.136717714080046</v>
      </c>
      <c r="BC78" s="30" t="str">
        <f t="shared" si="90"/>
        <v>-0,241324871604157+1,79230459613954i</v>
      </c>
      <c r="BD78" s="32">
        <f t="shared" si="91"/>
        <v>5.14626563847758</v>
      </c>
      <c r="BE78" s="31">
        <f t="shared" si="92"/>
        <v>97.6684714948777</v>
      </c>
      <c r="BF78" s="30" t="str">
        <f t="shared" si="93"/>
        <v>18,9797427211546+101,380215804312i</v>
      </c>
      <c r="BG78" s="68">
        <f t="shared" si="94"/>
        <v>40.2686728500542</v>
      </c>
      <c r="BH78" s="31">
        <f t="shared" si="95"/>
        <v>79.3962045499792</v>
      </c>
      <c r="BI78" s="30" t="str">
        <f t="shared" si="103"/>
        <v>40,3542864478786+575,643784323166i</v>
      </c>
      <c r="BJ78" s="68">
        <f t="shared" si="97"/>
        <v>55.2243671462296</v>
      </c>
      <c r="BK78" s="31">
        <f t="shared" si="104"/>
        <v>85.9899613222752</v>
      </c>
      <c r="BL78" s="32">
        <f t="shared" si="99"/>
        <v>40.2686728500542</v>
      </c>
      <c r="BM78" s="31">
        <f t="shared" si="100"/>
        <v>79.3962045499792</v>
      </c>
      <c r="BO78">
        <f t="shared" si="101"/>
        <v>0</v>
      </c>
      <c r="BP78">
        <f t="shared" si="102"/>
        <v>0</v>
      </c>
    </row>
    <row r="79" spans="1:68">
      <c r="N79" s="7">
        <v>61</v>
      </c>
      <c r="O79" s="18">
        <f t="shared" si="62"/>
        <v>40.7380277804113</v>
      </c>
      <c r="P79" s="86" t="str">
        <f t="shared" si="50"/>
        <v>60</v>
      </c>
      <c r="Q79" s="4" t="str">
        <f t="shared" si="51"/>
        <v>1+0,334460381388649i</v>
      </c>
      <c r="R79" s="4">
        <f t="shared" si="63"/>
        <v>1.05444949936858</v>
      </c>
      <c r="S79" s="4">
        <f t="shared" si="64"/>
        <v>0.322764554450742</v>
      </c>
      <c r="T79" s="4" t="str">
        <f t="shared" si="52"/>
        <v>1+0,00401352457666379i</v>
      </c>
      <c r="U79" s="4">
        <f t="shared" si="65"/>
        <v>1.00000805415733</v>
      </c>
      <c r="V79" s="4">
        <f t="shared" si="66"/>
        <v>0.00401350302641303</v>
      </c>
      <c r="W79" t="str">
        <f t="shared" si="53"/>
        <v>1-0,00559922513485462i</v>
      </c>
      <c r="X79" s="4">
        <f t="shared" si="67"/>
        <v>1.00001567553819</v>
      </c>
      <c r="Y79" s="4">
        <f t="shared" si="68"/>
        <v>-0.00559916662158504</v>
      </c>
      <c r="Z79" t="str">
        <f t="shared" si="54"/>
        <v>0,999999986452352+0,00149399733044284i</v>
      </c>
      <c r="AA79" s="4">
        <f t="shared" si="69"/>
        <v>1.00000110246576</v>
      </c>
      <c r="AB79" s="4">
        <f t="shared" si="70"/>
        <v>0.00149399623913646</v>
      </c>
      <c r="AC79" s="67" t="str">
        <f t="shared" si="71"/>
        <v>53,9088269840002-18,2151503123201i</v>
      </c>
      <c r="AD79" s="68">
        <f t="shared" si="72"/>
        <v>35.1027058448153</v>
      </c>
      <c r="AE79" s="31">
        <f t="shared" si="73"/>
        <v>-18.6694982572898</v>
      </c>
      <c r="AF79" s="32" t="str">
        <f t="shared" si="74"/>
        <v>326,048966736478</v>
      </c>
      <c r="AG79" s="32" t="str">
        <f t="shared" si="55"/>
        <v>1+0,215010245178417i</v>
      </c>
      <c r="AH79" s="32">
        <f t="shared" si="75"/>
        <v>1.02285356015985</v>
      </c>
      <c r="AI79" s="32">
        <f t="shared" si="76"/>
        <v>0.211785952518602</v>
      </c>
      <c r="AJ79" s="32" t="str">
        <f t="shared" si="56"/>
        <v>1+0,00401352457666379i</v>
      </c>
      <c r="AK79" s="32">
        <f t="shared" si="77"/>
        <v>1.00000805415733</v>
      </c>
      <c r="AL79" s="32">
        <f t="shared" si="78"/>
        <v>0.00401350302641303</v>
      </c>
      <c r="AM79" s="32" t="str">
        <f t="shared" si="57"/>
        <v>1-0,000662371272782953i</v>
      </c>
      <c r="AN79" s="32">
        <f t="shared" si="79"/>
        <v>1.00000021936783</v>
      </c>
      <c r="AO79" s="32">
        <f t="shared" si="80"/>
        <v>-0.000662371175914337</v>
      </c>
      <c r="AP79" s="30" t="str">
        <f t="shared" si="81"/>
        <v>311,86732145344-65,9620291767345i</v>
      </c>
      <c r="AQ79" s="32">
        <f t="shared" si="82"/>
        <v>50.0694592052911</v>
      </c>
      <c r="AR79" s="31">
        <f t="shared" si="83"/>
        <v>-11.9424355278485</v>
      </c>
      <c r="AS79" t="str">
        <f t="shared" si="58"/>
        <v>-0,000100699300699301</v>
      </c>
      <c r="AT79" t="str">
        <f t="shared" si="59"/>
        <v>0,0000575152405852267i</v>
      </c>
      <c r="AU79">
        <f t="shared" si="84"/>
        <v>5.75152405852267e-5</v>
      </c>
      <c r="AV79">
        <f t="shared" si="85"/>
        <v>1.5707963267949</v>
      </c>
      <c r="AW79" t="str">
        <f t="shared" si="60"/>
        <v>1+0,00294467482456084i</v>
      </c>
      <c r="AX79">
        <f t="shared" si="86"/>
        <v>1.00000433554551</v>
      </c>
      <c r="AY79">
        <f t="shared" si="87"/>
        <v>0.00294466631340552</v>
      </c>
      <c r="AZ79" t="str">
        <f t="shared" si="61"/>
        <v>1+0,140780517676345i</v>
      </c>
      <c r="BA79">
        <f t="shared" si="88"/>
        <v>1.00986095783391</v>
      </c>
      <c r="BB79">
        <f t="shared" si="89"/>
        <v>0.139861372909423</v>
      </c>
      <c r="BC79" s="30" t="str">
        <f t="shared" si="90"/>
        <v>-0,241324777424509+1,75153874567628i</v>
      </c>
      <c r="BD79" s="32">
        <f t="shared" si="91"/>
        <v>4.95006426497405</v>
      </c>
      <c r="BE79" s="31">
        <f t="shared" si="92"/>
        <v>97.8447494327828</v>
      </c>
      <c r="BF79" s="30" t="str">
        <f t="shared" si="93"/>
        <v>18,8950058572158+98,8191662913099i</v>
      </c>
      <c r="BG79" s="68">
        <f t="shared" si="94"/>
        <v>40.0527701097893</v>
      </c>
      <c r="BH79" s="31">
        <f t="shared" si="95"/>
        <v>79.175251175493</v>
      </c>
      <c r="BI79" s="30" t="str">
        <f t="shared" si="103"/>
        <v>40,2737379107505+562,165969045524i</v>
      </c>
      <c r="BJ79" s="68">
        <f t="shared" si="97"/>
        <v>55.0195234702652</v>
      </c>
      <c r="BK79" s="31">
        <f t="shared" si="104"/>
        <v>85.9023139049343</v>
      </c>
      <c r="BL79" s="32">
        <f t="shared" si="99"/>
        <v>40.0527701097893</v>
      </c>
      <c r="BM79" s="31">
        <f t="shared" si="100"/>
        <v>79.175251175493</v>
      </c>
      <c r="BO79">
        <f t="shared" si="101"/>
        <v>0</v>
      </c>
      <c r="BP79">
        <f t="shared" si="102"/>
        <v>0</v>
      </c>
    </row>
    <row r="80" spans="1:68">
      <c r="N80" s="7">
        <v>62</v>
      </c>
      <c r="O80" s="18">
        <f t="shared" si="62"/>
        <v>41.6869383470336</v>
      </c>
      <c r="P80" s="86" t="str">
        <f t="shared" si="50"/>
        <v>60</v>
      </c>
      <c r="Q80" s="4" t="str">
        <f t="shared" si="51"/>
        <v>1+0,342250964470554i</v>
      </c>
      <c r="R80" s="4">
        <f t="shared" si="63"/>
        <v>1.05694641429025</v>
      </c>
      <c r="S80" s="4">
        <f t="shared" si="64"/>
        <v>0.329754837244928</v>
      </c>
      <c r="T80" s="4" t="str">
        <f t="shared" si="52"/>
        <v>1+0,00410701157364665i</v>
      </c>
      <c r="U80" s="4">
        <f t="shared" si="65"/>
        <v>1.00000843373647</v>
      </c>
      <c r="V80" s="4">
        <f t="shared" si="66"/>
        <v>0.00410698848214745</v>
      </c>
      <c r="W80" t="str">
        <f t="shared" si="53"/>
        <v>1-0,005729647842699i</v>
      </c>
      <c r="X80" s="4">
        <f t="shared" si="67"/>
        <v>1.00001641429749</v>
      </c>
      <c r="Y80" s="4">
        <f t="shared" si="68"/>
        <v>-0.00572958514465661</v>
      </c>
      <c r="Z80" t="str">
        <f t="shared" si="54"/>
        <v>0,999999985813871+0,00152879699872832i</v>
      </c>
      <c r="AA80" s="4">
        <f t="shared" si="69"/>
        <v>1.00000115442334</v>
      </c>
      <c r="AB80" s="4">
        <f t="shared" si="70"/>
        <v>0.00152879582937254</v>
      </c>
      <c r="AC80" s="67" t="str">
        <f t="shared" si="71"/>
        <v>53,651858953202-18,5514881889967i</v>
      </c>
      <c r="AD80" s="68">
        <f t="shared" si="72"/>
        <v>35.0821714114715</v>
      </c>
      <c r="AE80" s="31">
        <f t="shared" si="73"/>
        <v>-19.0741219375318</v>
      </c>
      <c r="AF80" s="32" t="str">
        <f t="shared" si="74"/>
        <v>326,048966736478</v>
      </c>
      <c r="AG80" s="32" t="str">
        <f t="shared" si="55"/>
        <v>1+0,220018477159642i</v>
      </c>
      <c r="AH80" s="32">
        <f t="shared" si="75"/>
        <v>1.02391802908809</v>
      </c>
      <c r="AI80" s="32">
        <f t="shared" si="76"/>
        <v>0.216567929058499</v>
      </c>
      <c r="AJ80" s="32" t="str">
        <f t="shared" si="56"/>
        <v>1+0,00410701157364665i</v>
      </c>
      <c r="AK80" s="32">
        <f t="shared" si="77"/>
        <v>1.00000843373647</v>
      </c>
      <c r="AL80" s="32">
        <f t="shared" si="78"/>
        <v>0.00410698848214745</v>
      </c>
      <c r="AM80" s="32" t="str">
        <f t="shared" si="57"/>
        <v>1-0,000677799881726881i</v>
      </c>
      <c r="AN80" s="32">
        <f t="shared" si="79"/>
        <v>1.00000022970631</v>
      </c>
      <c r="AO80" s="32">
        <f t="shared" si="80"/>
        <v>-0.00067779977793029</v>
      </c>
      <c r="AP80" s="30" t="str">
        <f t="shared" si="81"/>
        <v>311,2298212931-67,3582203987044i</v>
      </c>
      <c r="AQ80" s="32">
        <f t="shared" si="82"/>
        <v>50.060428012402</v>
      </c>
      <c r="AR80" s="31">
        <f t="shared" si="83"/>
        <v>-12.2119502730351</v>
      </c>
      <c r="AS80" t="str">
        <f t="shared" si="58"/>
        <v>-0,000100699300699301</v>
      </c>
      <c r="AT80" t="str">
        <f t="shared" si="59"/>
        <v>0,0000588549426402041i</v>
      </c>
      <c r="AU80">
        <f t="shared" si="84"/>
        <v>5.88549426402041e-5</v>
      </c>
      <c r="AV80">
        <f t="shared" si="85"/>
        <v>1.5707963267949</v>
      </c>
      <c r="AW80" t="str">
        <f t="shared" si="60"/>
        <v>1+0,00301326511251867i</v>
      </c>
      <c r="AX80">
        <f t="shared" si="86"/>
        <v>1.00000453987301</v>
      </c>
      <c r="AY80">
        <f t="shared" si="87"/>
        <v>0.00301325599265367</v>
      </c>
      <c r="AZ80" t="str">
        <f t="shared" si="61"/>
        <v>1+0,14405971718786i</v>
      </c>
      <c r="BA80">
        <f t="shared" si="88"/>
        <v>1.01032331563527</v>
      </c>
      <c r="BB80">
        <f t="shared" si="89"/>
        <v>0.143075378519735</v>
      </c>
      <c r="BC80" s="30" t="str">
        <f t="shared" si="90"/>
        <v>-0,241324678806388+1,71170158421418i</v>
      </c>
      <c r="BD80" s="32">
        <f t="shared" si="91"/>
        <v>4.75403835415928</v>
      </c>
      <c r="BE80" s="31">
        <f t="shared" si="92"/>
        <v>98.0249684904459</v>
      </c>
      <c r="BF80" s="30" t="str">
        <f t="shared" si="93"/>
        <v>18,8070940933892+96,3129038948217i</v>
      </c>
      <c r="BG80" s="68">
        <f t="shared" si="94"/>
        <v>39.8362097656308</v>
      </c>
      <c r="BH80" s="31">
        <f t="shared" si="95"/>
        <v>78.9508465529142</v>
      </c>
      <c r="BI80" s="30" t="str">
        <f t="shared" si="103"/>
        <v>40,1897359077833+548,987779064783i</v>
      </c>
      <c r="BJ80" s="68">
        <f t="shared" si="97"/>
        <v>54.8144663665612</v>
      </c>
      <c r="BK80" s="31">
        <f t="shared" si="104"/>
        <v>85.8130182174109</v>
      </c>
      <c r="BL80" s="32">
        <f t="shared" si="99"/>
        <v>39.8362097656308</v>
      </c>
      <c r="BM80" s="31">
        <f t="shared" si="100"/>
        <v>78.9508465529142</v>
      </c>
      <c r="BO80">
        <f t="shared" si="101"/>
        <v>0</v>
      </c>
      <c r="BP80">
        <f t="shared" si="102"/>
        <v>0</v>
      </c>
    </row>
    <row r="81" spans="14:68">
      <c r="N81" s="7">
        <v>63</v>
      </c>
      <c r="O81" s="18">
        <f t="shared" si="62"/>
        <v>42.6579518801593</v>
      </c>
      <c r="P81" s="86" t="str">
        <f t="shared" si="50"/>
        <v>60</v>
      </c>
      <c r="Q81" s="4" t="str">
        <f t="shared" si="51"/>
        <v>1+0,350223013544047i</v>
      </c>
      <c r="R81" s="4">
        <f t="shared" si="63"/>
        <v>1.05955469854834</v>
      </c>
      <c r="S81" s="4">
        <f t="shared" si="64"/>
        <v>0.336873481332924</v>
      </c>
      <c r="T81" s="4" t="str">
        <f t="shared" si="52"/>
        <v>1+0,00420267616252856i</v>
      </c>
      <c r="U81" s="4">
        <f t="shared" si="65"/>
        <v>1.00000883120447</v>
      </c>
      <c r="V81" s="4">
        <f t="shared" si="66"/>
        <v>0.00420265141955318</v>
      </c>
      <c r="W81" t="str">
        <f t="shared" si="53"/>
        <v>1-0,00586310848567043i</v>
      </c>
      <c r="X81" s="4">
        <f t="shared" si="67"/>
        <v>1.00001718787285</v>
      </c>
      <c r="Y81" s="4">
        <f t="shared" si="68"/>
        <v>-0.00586304130356998</v>
      </c>
      <c r="Z81" t="str">
        <f t="shared" si="54"/>
        <v>0,999999985145299+0,00156440725541854i</v>
      </c>
      <c r="AA81" s="4">
        <f t="shared" si="69"/>
        <v>1.0000012088296</v>
      </c>
      <c r="AB81" s="4">
        <f t="shared" si="70"/>
        <v>0.00156440600243133</v>
      </c>
      <c r="AC81" s="67" t="str">
        <f t="shared" si="71"/>
        <v>53,3853671185552-18,8902763697406i</v>
      </c>
      <c r="AD81" s="68">
        <f t="shared" si="72"/>
        <v>35.0607728714618</v>
      </c>
      <c r="AE81" s="31">
        <f t="shared" si="73"/>
        <v>-19.4861959043403</v>
      </c>
      <c r="AF81" s="32" t="str">
        <f t="shared" si="74"/>
        <v>326,048966736478</v>
      </c>
      <c r="AG81" s="32" t="str">
        <f t="shared" si="55"/>
        <v>1+0,225143365849745i</v>
      </c>
      <c r="AH81" s="32">
        <f t="shared" si="75"/>
        <v>1.0250314800952</v>
      </c>
      <c r="AI81" s="32">
        <f t="shared" si="76"/>
        <v>0.221450895837126</v>
      </c>
      <c r="AJ81" s="32" t="str">
        <f t="shared" si="56"/>
        <v>1+0,00420267616252856i</v>
      </c>
      <c r="AK81" s="32">
        <f t="shared" si="77"/>
        <v>1.00000883120447</v>
      </c>
      <c r="AL81" s="32">
        <f t="shared" si="78"/>
        <v>0.00420265141955318</v>
      </c>
      <c r="AM81" s="32" t="str">
        <f t="shared" si="57"/>
        <v>1-0,000693587869139841i</v>
      </c>
      <c r="AN81" s="32">
        <f t="shared" si="79"/>
        <v>1.00000024053204</v>
      </c>
      <c r="AO81" s="32">
        <f t="shared" si="80"/>
        <v>-0.000693587757919791</v>
      </c>
      <c r="AP81" s="30" t="str">
        <f t="shared" si="81"/>
        <v>310,565110372593-68,7775396525366i</v>
      </c>
      <c r="AQ81" s="32">
        <f t="shared" si="82"/>
        <v>50.0509912934267</v>
      </c>
      <c r="AR81" s="31">
        <f t="shared" si="83"/>
        <v>-12.4871471630042</v>
      </c>
      <c r="AS81" t="str">
        <f t="shared" si="58"/>
        <v>-0,000100699300699301</v>
      </c>
      <c r="AT81" t="str">
        <f t="shared" si="59"/>
        <v>0,0000602258503648066i</v>
      </c>
      <c r="AU81">
        <f t="shared" si="84"/>
        <v>6.02258503648066e-5</v>
      </c>
      <c r="AV81">
        <f t="shared" si="85"/>
        <v>1.5707963267949</v>
      </c>
      <c r="AW81" t="str">
        <f t="shared" si="60"/>
        <v>1+0,00308345307352443i</v>
      </c>
      <c r="AX81">
        <f t="shared" si="86"/>
        <v>1.00000475383013</v>
      </c>
      <c r="AY81">
        <f t="shared" si="87"/>
        <v>0.00308344330141553</v>
      </c>
      <c r="AZ81" t="str">
        <f t="shared" si="61"/>
        <v>1+0,147415299068285i</v>
      </c>
      <c r="BA81">
        <f t="shared" si="88"/>
        <v>1.01080723701376</v>
      </c>
      <c r="BB81">
        <f t="shared" si="89"/>
        <v>0.146361169279337</v>
      </c>
      <c r="BC81" s="30" t="str">
        <f t="shared" si="90"/>
        <v>-0,241324575540627+1,67277198956106i</v>
      </c>
      <c r="BD81" s="32">
        <f t="shared" si="91"/>
        <v>4.5581958389176</v>
      </c>
      <c r="BE81" s="31">
        <f t="shared" si="92"/>
        <v>98.2092089967668</v>
      </c>
      <c r="BF81" s="30" t="str">
        <f t="shared" si="93"/>
        <v>18,7159241264034+93,860234695126i</v>
      </c>
      <c r="BG81" s="68">
        <f t="shared" si="94"/>
        <v>39.6189687103794</v>
      </c>
      <c r="BH81" s="31">
        <f t="shared" si="95"/>
        <v>78.7230130924265</v>
      </c>
      <c r="BI81" s="30" t="str">
        <f t="shared" si="103"/>
        <v>40,1021484032944+536,10232812959i</v>
      </c>
      <c r="BJ81" s="68">
        <f t="shared" si="97"/>
        <v>54.6091871323443</v>
      </c>
      <c r="BK81" s="31">
        <f t="shared" si="104"/>
        <v>85.7220618337627</v>
      </c>
      <c r="BL81" s="32">
        <f t="shared" si="99"/>
        <v>39.6189687103794</v>
      </c>
      <c r="BM81" s="31">
        <f t="shared" si="100"/>
        <v>78.7230130924265</v>
      </c>
      <c r="BO81">
        <f t="shared" si="101"/>
        <v>0</v>
      </c>
      <c r="BP81">
        <f t="shared" si="102"/>
        <v>0</v>
      </c>
    </row>
    <row r="82" spans="14:68">
      <c r="N82" s="7">
        <v>64</v>
      </c>
      <c r="O82" s="18">
        <f t="shared" si="62"/>
        <v>43.6515832240166</v>
      </c>
      <c r="P82" s="86" t="str">
        <f t="shared" si="50"/>
        <v>60</v>
      </c>
      <c r="Q82" s="4" t="str">
        <f t="shared" si="51"/>
        <v>1+0,35838075549507i</v>
      </c>
      <c r="R82" s="4">
        <f t="shared" si="63"/>
        <v>1.06227904333523</v>
      </c>
      <c r="S82" s="4">
        <f t="shared" si="64"/>
        <v>0.344121374284141</v>
      </c>
      <c r="T82" s="4" t="str">
        <f t="shared" si="52"/>
        <v>1+0,00430056906594085i</v>
      </c>
      <c r="U82" s="4">
        <f t="shared" si="65"/>
        <v>1.00000924740439</v>
      </c>
      <c r="V82" s="4">
        <f t="shared" si="66"/>
        <v>0.0043005425533783</v>
      </c>
      <c r="W82" t="str">
        <f t="shared" si="53"/>
        <v>1-0,00599967782636836i</v>
      </c>
      <c r="X82" s="4">
        <f t="shared" si="67"/>
        <v>1.00001799790505</v>
      </c>
      <c r="Y82" s="4">
        <f t="shared" si="68"/>
        <v>-0.00599960583952073</v>
      </c>
      <c r="Z82" t="str">
        <f t="shared" si="54"/>
        <v>0,999999984445219+0,00160084698154296i</v>
      </c>
      <c r="AA82" s="4">
        <f t="shared" si="69"/>
        <v>1.00000126579995</v>
      </c>
      <c r="AB82" s="4">
        <f t="shared" si="70"/>
        <v>0.00160084563894307</v>
      </c>
      <c r="AC82" s="67" t="str">
        <f t="shared" si="71"/>
        <v>53,1091105439598-19,2312824803986i</v>
      </c>
      <c r="AD82" s="68">
        <f t="shared" si="72"/>
        <v>35.0384783852336</v>
      </c>
      <c r="AE82" s="31">
        <f t="shared" si="73"/>
        <v>-19.905773240908</v>
      </c>
      <c r="AF82" s="32" t="str">
        <f t="shared" si="74"/>
        <v>326,048966736478</v>
      </c>
      <c r="AG82" s="32" t="str">
        <f t="shared" si="55"/>
        <v>1+0,230387628532545i</v>
      </c>
      <c r="AH82" s="32">
        <f t="shared" si="75"/>
        <v>1.02619611155999</v>
      </c>
      <c r="AI82" s="32">
        <f t="shared" si="76"/>
        <v>0.226436510033276</v>
      </c>
      <c r="AJ82" s="32" t="str">
        <f t="shared" si="56"/>
        <v>1+0,00430056906594085i</v>
      </c>
      <c r="AK82" s="32">
        <f t="shared" si="77"/>
        <v>1.00000924740439</v>
      </c>
      <c r="AL82" s="32">
        <f t="shared" si="78"/>
        <v>0.0043005425533783</v>
      </c>
      <c r="AM82" s="32" t="str">
        <f t="shared" si="57"/>
        <v>1-0,000709743606021739i</v>
      </c>
      <c r="AN82" s="32">
        <f t="shared" si="79"/>
        <v>1.00000025186796</v>
      </c>
      <c r="AO82" s="32">
        <f t="shared" si="80"/>
        <v>-0.00070974348684731</v>
      </c>
      <c r="AP82" s="30" t="str">
        <f t="shared" si="81"/>
        <v>309,872159470257-70,2199270376735i</v>
      </c>
      <c r="AQ82" s="32">
        <f t="shared" si="82"/>
        <v>50.041131780141</v>
      </c>
      <c r="AR82" s="31">
        <f t="shared" si="83"/>
        <v>-12.7681187209867</v>
      </c>
      <c r="AS82" t="str">
        <f t="shared" si="58"/>
        <v>-0,000100699300699301</v>
      </c>
      <c r="AT82" t="str">
        <f t="shared" si="59"/>
        <v>0,0000616286906324558i</v>
      </c>
      <c r="AU82">
        <f t="shared" si="84"/>
        <v>6.16286906324558e-5</v>
      </c>
      <c r="AV82">
        <f t="shared" si="85"/>
        <v>1.5707963267949</v>
      </c>
      <c r="AW82" t="str">
        <f t="shared" si="60"/>
        <v>1+0,0031552759221641i</v>
      </c>
      <c r="AX82">
        <f t="shared" si="86"/>
        <v>1.00000497787068</v>
      </c>
      <c r="AY82">
        <f t="shared" si="87"/>
        <v>0.00315526545116358</v>
      </c>
      <c r="AZ82" t="str">
        <f t="shared" si="61"/>
        <v>1+0,150849042491547i</v>
      </c>
      <c r="BA82">
        <f t="shared" si="88"/>
        <v>1.01131371671733</v>
      </c>
      <c r="BB82">
        <f t="shared" si="89"/>
        <v>0.14972020341203</v>
      </c>
      <c r="BC82" s="30" t="str">
        <f t="shared" si="90"/>
        <v>-0,241324467408193+1,63472932072855i</v>
      </c>
      <c r="BD82" s="32">
        <f t="shared" si="91"/>
        <v>4.36254499457762</v>
      </c>
      <c r="BE82" s="31">
        <f t="shared" si="92"/>
        <v>98.3975523697544</v>
      </c>
      <c r="BF82" s="30" t="str">
        <f t="shared" si="93"/>
        <v>18,6214135293769+91,4599992061836i</v>
      </c>
      <c r="BG82" s="68">
        <f t="shared" si="94"/>
        <v>39.4010233798112</v>
      </c>
      <c r="BH82" s="31">
        <f t="shared" si="95"/>
        <v>78.4917791288464</v>
      </c>
      <c r="BI82" s="30" t="str">
        <f t="shared" si="103"/>
        <v>40,0108397791179+523,502891257311i</v>
      </c>
      <c r="BJ82" s="68">
        <f t="shared" si="97"/>
        <v>54.4036767747186</v>
      </c>
      <c r="BK82" s="31">
        <f t="shared" si="104"/>
        <v>85.6294336487677</v>
      </c>
      <c r="BL82" s="32">
        <f t="shared" si="99"/>
        <v>39.4010233798112</v>
      </c>
      <c r="BM82" s="31">
        <f t="shared" si="100"/>
        <v>78.4917791288464</v>
      </c>
      <c r="BO82">
        <f t="shared" si="101"/>
        <v>0</v>
      </c>
      <c r="BP82">
        <f t="shared" si="102"/>
        <v>0</v>
      </c>
    </row>
    <row r="83" spans="14:68">
      <c r="N83" s="7">
        <v>65</v>
      </c>
      <c r="O83" s="18">
        <f t="shared" si="62"/>
        <v>44.6683592150963</v>
      </c>
      <c r="P83" s="86" t="str">
        <f t="shared" ref="P83:P146" si="105">COMPLEX(Adc,0)</f>
        <v>60</v>
      </c>
      <c r="Q83" s="4" t="str">
        <f t="shared" ref="Q83:Q146" si="106">IMSUM(COMPLEX(1,0),IMDIV(COMPLEX(0,2*PI()*O83),COMPLEX(wp_lf,0)))</f>
        <v>1+0,366728515666388i</v>
      </c>
      <c r="R83" s="4">
        <f t="shared" si="63"/>
        <v>1.06512431396662</v>
      </c>
      <c r="S83" s="4">
        <f t="shared" si="64"/>
        <v>0.351499312110281</v>
      </c>
      <c r="T83" s="4" t="str">
        <f t="shared" ref="T83:T146" si="107">IMSUM(COMPLEX(1,0),IMDIV(COMPLEX(0,2*PI()*O83),COMPLEX(wz_esr,0)))</f>
        <v>1+0,00440074218799665i</v>
      </c>
      <c r="U83" s="4">
        <f t="shared" si="65"/>
        <v>1.00000968321902</v>
      </c>
      <c r="V83" s="4">
        <f t="shared" si="66"/>
        <v>0.00440071377928891</v>
      </c>
      <c r="W83" t="str">
        <f t="shared" ref="W83:W146" si="108">IMSUB(COMPLEX(1,0),IMDIV(COMPLEX(0,2*PI()*O83),COMPLEX(wz_rhp,0)))</f>
        <v>1-0,00613942827566497i</v>
      </c>
      <c r="X83" s="4">
        <f t="shared" si="67"/>
        <v>1.00001884611219</v>
      </c>
      <c r="Y83" s="4">
        <f t="shared" si="68"/>
        <v>-0.00613935114044652</v>
      </c>
      <c r="Z83" t="str">
        <f t="shared" ref="Z83:Z146" si="109">IMSUM(COMPLEX(1,0),IMDIV(COMPLEX(0,2*PI()*O83),COMPLEX(Q*(wsl/2),0)),IMDIV(IMPOWER(COMPLEX(0,2*PI()*O83),2),IMPOWER(COMPLEX(wsl/2,0),2)))</f>
        <v>0,999999983712144+0,0016381354979267i</v>
      </c>
      <c r="AA83" s="4">
        <f t="shared" si="69"/>
        <v>1.00000132545522</v>
      </c>
      <c r="AB83" s="4">
        <f t="shared" si="70"/>
        <v>0.0016381340593051</v>
      </c>
      <c r="AC83" s="67" t="str">
        <f t="shared" si="71"/>
        <v>52,8228517792426-19,5742574381515i</v>
      </c>
      <c r="AD83" s="68">
        <f t="shared" si="72"/>
        <v>35.0152553237809</v>
      </c>
      <c r="AE83" s="31">
        <f t="shared" si="73"/>
        <v>-20.3329018364437</v>
      </c>
      <c r="AF83" s="32" t="str">
        <f t="shared" si="74"/>
        <v>326,048966736478</v>
      </c>
      <c r="AG83" s="32" t="str">
        <f t="shared" ref="AG83:AG146" si="110">IMSUM(COMPLEX(1,0),IMDIV(COMPLEX(0,2*PI()*O83),COMPLEX(wp_lf_DCM,0)))</f>
        <v>1+0,235754045785535i</v>
      </c>
      <c r="AH83" s="32">
        <f t="shared" si="75"/>
        <v>1.02741421544781</v>
      </c>
      <c r="AI83" s="32">
        <f t="shared" si="76"/>
        <v>0.231526423246017</v>
      </c>
      <c r="AJ83" s="32" t="str">
        <f t="shared" ref="AJ83:AJ146" si="111">IMSUM(COMPLEX(1,0),IMDIV(COMPLEX(0,2*PI()*O83),COMPLEX(wz1_dcm,0)))</f>
        <v>1+0,00440074218799665i</v>
      </c>
      <c r="AK83" s="32">
        <f t="shared" si="77"/>
        <v>1.00000968321902</v>
      </c>
      <c r="AL83" s="32">
        <f t="shared" si="78"/>
        <v>0.00440071377928891</v>
      </c>
      <c r="AM83" s="32" t="str">
        <f t="shared" ref="AM83:AM146" si="112">IMSUB(COMPLEX(1,0),IMDIV(COMPLEX(0,2*PI()*O83),COMPLEX(wz2_dcm,0)))</f>
        <v>1-0,000726275658358117i</v>
      </c>
      <c r="AN83" s="32">
        <f t="shared" si="79"/>
        <v>1.00000026373813</v>
      </c>
      <c r="AO83" s="32">
        <f t="shared" si="80"/>
        <v>-0.000726275530660417</v>
      </c>
      <c r="AP83" s="30" t="str">
        <f t="shared" si="81"/>
        <v>309,149912496888-71,685286610089i</v>
      </c>
      <c r="AQ83" s="32">
        <f t="shared" si="82"/>
        <v>50.0308315549209</v>
      </c>
      <c r="AR83" s="31">
        <f t="shared" si="83"/>
        <v>-13.0549570940285</v>
      </c>
      <c r="AS83" t="str">
        <f t="shared" ref="AS83:AS146" si="113">COMPLEX(Adc_ea,0)</f>
        <v>-0,000100699300699301</v>
      </c>
      <c r="AT83" t="str">
        <f t="shared" ref="AT83:AT146" si="114">COMPLEX(0,2*PI()*O83*wp0_ea)</f>
        <v>0,0000630642072476306i</v>
      </c>
      <c r="AU83">
        <f t="shared" si="84"/>
        <v>6.30642072476306e-5</v>
      </c>
      <c r="AV83">
        <f t="shared" si="85"/>
        <v>1.5707963267949</v>
      </c>
      <c r="AW83" t="str">
        <f t="shared" ref="AW83:AW146" si="115">IMSUM(COMPLEX(1,0),IMDIV(COMPLEX(0,2*PI()*O83),COMPLEX(wp1_ea,0)))</f>
        <v>1+0,00322877173986272i</v>
      </c>
      <c r="AX83">
        <f t="shared" si="86"/>
        <v>1.00000521246989</v>
      </c>
      <c r="AY83">
        <f t="shared" si="87"/>
        <v>0.00322876051998668</v>
      </c>
      <c r="AZ83" t="str">
        <f t="shared" ref="AZ83:AZ146" si="116">IMSUM(COMPLEX(1,0),IMDIV(COMPLEX(0,2*PI()*O83),COMPLEX(wz_ea,0)))</f>
        <v>1+0,154362768073862i</v>
      </c>
      <c r="BA83">
        <f t="shared" si="88"/>
        <v>1.01184379435139</v>
      </c>
      <c r="BB83">
        <f t="shared" si="89"/>
        <v>0.153153958562285</v>
      </c>
      <c r="BC83" s="30" t="str">
        <f t="shared" si="90"/>
        <v>-0,24132435417974+1,59755340698792i</v>
      </c>
      <c r="BD83" s="32">
        <f t="shared" si="91"/>
        <v>4.16709445216845</v>
      </c>
      <c r="BE83" s="31">
        <f t="shared" si="92"/>
        <v>98.5900810904867</v>
      </c>
      <c r="BF83" s="30" t="str">
        <f t="shared" si="93"/>
        <v>18,5234810680197+89,1110718615568i</v>
      </c>
      <c r="BG83" s="68">
        <f t="shared" si="94"/>
        <v>39.1823497759494</v>
      </c>
      <c r="BH83" s="31">
        <f t="shared" si="95"/>
        <v>78.257179254043</v>
      </c>
      <c r="BI83" s="30" t="str">
        <f t="shared" si="103"/>
        <v>39,9156708768186+511,18290147479i</v>
      </c>
      <c r="BJ83" s="68">
        <f t="shared" si="97"/>
        <v>54.1979260070893</v>
      </c>
      <c r="BK83" s="31">
        <f t="shared" si="104"/>
        <v>85.5351239964582</v>
      </c>
      <c r="BL83" s="32">
        <f t="shared" si="99"/>
        <v>39.1823497759494</v>
      </c>
      <c r="BM83" s="31">
        <f t="shared" si="100"/>
        <v>78.257179254043</v>
      </c>
      <c r="BO83">
        <f t="shared" si="101"/>
        <v>0</v>
      </c>
      <c r="BP83">
        <f t="shared" si="102"/>
        <v>0</v>
      </c>
    </row>
    <row r="84" spans="14:68">
      <c r="N84" s="7">
        <v>66</v>
      </c>
      <c r="O84" s="18">
        <f t="shared" ref="O84:O118" si="117">10^(1+(N84/100))</f>
        <v>45.7088189614875</v>
      </c>
      <c r="P84" s="86" t="str">
        <f t="shared" si="105"/>
        <v>60</v>
      </c>
      <c r="Q84" s="4" t="str">
        <f t="shared" si="106"/>
        <v>1+0,375270720150937i</v>
      </c>
      <c r="R84" s="4">
        <f t="shared" ref="R84:R147" si="118">IMABS(Q84)</f>
        <v>1.06809555443443</v>
      </c>
      <c r="S84" s="4">
        <f t="shared" ref="S84:S147" si="119">IMARGUMENT(Q84)</f>
        <v>0.359007992837458</v>
      </c>
      <c r="T84" s="4" t="str">
        <f t="shared" si="107"/>
        <v>1+0,00450324864181125i</v>
      </c>
      <c r="U84" s="4">
        <f t="shared" ref="U84:U147" si="120">IMABS(T84)</f>
        <v>1.00001013957276</v>
      </c>
      <c r="V84" s="4">
        <f t="shared" ref="V84:V147" si="121">IMARGUMENT(T84)</f>
        <v>0.00450321820134914</v>
      </c>
      <c r="W84" t="str">
        <f t="shared" si="108"/>
        <v>1-0,00628243393109828i</v>
      </c>
      <c r="X84" s="4">
        <f t="shared" ref="X84:X147" si="122">IMABS(W84)</f>
        <v>1.00001973429333</v>
      </c>
      <c r="Y84" s="4">
        <f t="shared" ref="Y84:Y147" si="123">IMARGUMENT(W84)</f>
        <v>-0.00628235127931069</v>
      </c>
      <c r="Z84" t="str">
        <f t="shared" si="109"/>
        <v>0,999999982944521+0,00167629257543474i</v>
      </c>
      <c r="AA84" s="4">
        <f t="shared" ref="AA84:AA147" si="124">IMABS(Z84)</f>
        <v>1.00000138792196</v>
      </c>
      <c r="AB84" s="4">
        <f t="shared" ref="AB84:AB147" si="125">IMARGUMENT(Z84)</f>
        <v>0.00167629103392404</v>
      </c>
      <c r="AC84" s="67" t="str">
        <f t="shared" ref="AC84:AC147" si="126">(IMDIV(IMPRODUCT(P84,T84,W84),IMPRODUCT(Q84,Z84)))</f>
        <v>52,5263578470759-19,9189350761979i</v>
      </c>
      <c r="AD84" s="68">
        <f t="shared" ref="AD84:AD147" si="127">20*LOG(IMABS(AC84))</f>
        <v>34.9910702818182</v>
      </c>
      <c r="AE84" s="31">
        <f t="shared" ref="AE84:AE147" si="128">(180/PI())*IMARGUMENT(AC84)</f>
        <v>-20.767624019088</v>
      </c>
      <c r="AF84" s="32" t="str">
        <f t="shared" ref="AF84:AF147" si="129">COMPLEX($B$68,0)</f>
        <v>326,048966736478</v>
      </c>
      <c r="AG84" s="32" t="str">
        <f t="shared" si="110"/>
        <v>1+0,241245462954174i</v>
      </c>
      <c r="AH84" s="32">
        <f t="shared" ref="AH84:AH147" si="130">IMABS(AG84)</f>
        <v>1.02868818083809</v>
      </c>
      <c r="AI84" s="32">
        <f t="shared" ref="AI84:AI147" si="131">IMARGUMENT(AG84)</f>
        <v>0.236722278821541</v>
      </c>
      <c r="AJ84" s="32" t="str">
        <f t="shared" si="111"/>
        <v>1+0,00450324864181125i</v>
      </c>
      <c r="AK84" s="32">
        <f t="shared" ref="AK84:AK147" si="132">IMABS(AJ84)</f>
        <v>1.00001013957276</v>
      </c>
      <c r="AL84" s="32">
        <f t="shared" ref="AL84:AL147" si="133">IMARGUMENT(AJ84)</f>
        <v>0.00450321820134914</v>
      </c>
      <c r="AM84" s="32" t="str">
        <f t="shared" si="112"/>
        <v>1-0,000743192791661953i</v>
      </c>
      <c r="AN84" s="32">
        <f t="shared" ref="AN84:AN147" si="134">IMABS(AM84)</f>
        <v>1.00000027616772</v>
      </c>
      <c r="AO84" s="32">
        <f t="shared" ref="AO84:AO147" si="135">IMARGUMENT(AM84)</f>
        <v>-0.000743192654831405</v>
      </c>
      <c r="AP84" s="30" t="str">
        <f t="shared" ref="AP84:AP147" si="136">(IMDIV(IMPRODUCT(AF84,AJ84,AM84),IMPRODUCT(AG84)))</f>
        <v>308,397286942793-73,1734839375127i</v>
      </c>
      <c r="AQ84" s="32">
        <f t="shared" ref="AQ84:AQ147" si="137">20*LOG(IMABS(AP84))</f>
        <v>50.02007203415</v>
      </c>
      <c r="AR84" s="31">
        <f t="shared" ref="AR84:AR147" si="138">(180/PI())*IMARGUMENT(AP84)</f>
        <v>-13.3477538985166</v>
      </c>
      <c r="AS84" t="str">
        <f t="shared" si="113"/>
        <v>-0,000100699300699301</v>
      </c>
      <c r="AT84" t="str">
        <f t="shared" si="114"/>
        <v>0,0000645331613402415i</v>
      </c>
      <c r="AU84">
        <f t="shared" ref="AU84:AU147" si="139">IMABS(AT84)</f>
        <v>6.45331613402415e-5</v>
      </c>
      <c r="AV84">
        <f t="shared" ref="AV84:AV147" si="140">IMARGUMENT(AT84)</f>
        <v>1.5707963267949</v>
      </c>
      <c r="AW84" t="str">
        <f t="shared" si="115"/>
        <v>1+0,00330397949507566i</v>
      </c>
      <c r="AX84">
        <f t="shared" ref="AX84:AX147" si="141">IMABS(AW84)</f>
        <v>1.00000545812536</v>
      </c>
      <c r="AY84">
        <f t="shared" ref="AY84:AY147" si="142">IMARGUMENT(AW84)</f>
        <v>0.00330396747276542</v>
      </c>
      <c r="AZ84" t="str">
        <f t="shared" si="116"/>
        <v>1+0,157958338839042i</v>
      </c>
      <c r="BA84">
        <f t="shared" ref="BA84:BA147" si="143">IMABS(AZ84)</f>
        <v>1.01239855630517</v>
      </c>
      <c r="BB84">
        <f t="shared" ref="BB84:BB147" si="144">IMARGUMENT(AZ84)</f>
        <v>0.156663931295254</v>
      </c>
      <c r="BC84" s="30" t="str">
        <f t="shared" ref="BC84:BC147" si="145">IMPRODUCT(AS84,IMDIV(AZ84,IMPRODUCT(AT84,AW84)))</f>
        <v>-0,241324235615108+1,56122453717532i</v>
      </c>
      <c r="BD84" s="32">
        <f t="shared" ref="BD84:BD147" si="146">20*LOG(IMABS(BC84))</f>
        <v>3.97185321204401</v>
      </c>
      <c r="BE84" s="31">
        <f t="shared" ref="BE84:BE147" si="147">(180/PI())*IMARGUMENT(BC84)</f>
        <v>98.7868786733076</v>
      </c>
      <c r="BF84" s="30" t="str">
        <f t="shared" ref="BF84:BF147" si="148">IMPRODUCT(AC84,BC84)</f>
        <v>18,4220470382711+86,8123605008367i</v>
      </c>
      <c r="BG84" s="68">
        <f t="shared" ref="BG84:BG147" si="149">20*LOG(IMABS(BF84))</f>
        <v>38.9629234938622</v>
      </c>
      <c r="BH84" s="31">
        <f t="shared" ref="BH84:BH147" si="150">(180/PI())*IMARGUMENT(BF84)</f>
        <v>78.0192546542196</v>
      </c>
      <c r="BI84" s="30" t="str">
        <f t="shared" si="103"/>
        <v>39,8164990566063+499,135946651901i</v>
      </c>
      <c r="BJ84" s="68">
        <f t="shared" ref="BJ84:BJ147" si="151">20*LOG(IMABS(BI84))</f>
        <v>53.9919252461941</v>
      </c>
      <c r="BK84" s="31">
        <f t="shared" si="104"/>
        <v>85.4391247747911</v>
      </c>
      <c r="BL84" s="32">
        <f t="shared" ref="BL84:BL147" si="152">IF($B$31=0,BJ84,BG84)</f>
        <v>38.9629234938622</v>
      </c>
      <c r="BM84" s="31">
        <f t="shared" ref="BM84:BM147" si="153">IF($B$31=0,BK84,BH84)</f>
        <v>78.0192546542196</v>
      </c>
      <c r="BO84">
        <f t="shared" ref="BO84:BO147" si="154">SUM((BL85&lt;0)*(BL84&gt;0))*O84</f>
        <v>0</v>
      </c>
      <c r="BP84">
        <f t="shared" ref="BP84:BP147" si="155">IF(BO84&gt;0,BM84,0)</f>
        <v>0</v>
      </c>
    </row>
    <row r="85" spans="14:68">
      <c r="N85" s="7">
        <v>67</v>
      </c>
      <c r="O85" s="18">
        <f t="shared" si="117"/>
        <v>46.7735141287198</v>
      </c>
      <c r="P85" s="86" t="str">
        <f t="shared" si="105"/>
        <v>60</v>
      </c>
      <c r="Q85" s="4" t="str">
        <f t="shared" si="106"/>
        <v>1+0,384011898138606i</v>
      </c>
      <c r="R85" s="4">
        <f t="shared" si="118"/>
        <v>1.07119799192867</v>
      </c>
      <c r="S85" s="4">
        <f t="shared" si="119"/>
        <v>0.366648009944664</v>
      </c>
      <c r="T85" s="4" t="str">
        <f t="shared" si="107"/>
        <v>1+0,00460814277766327i</v>
      </c>
      <c r="U85" s="4">
        <f t="shared" si="120"/>
        <v>1.00001061743356</v>
      </c>
      <c r="V85" s="4">
        <f t="shared" si="121"/>
        <v>0.00460811016013916</v>
      </c>
      <c r="W85" t="str">
        <f t="shared" si="108"/>
        <v>1-0,0064287706161597i</v>
      </c>
      <c r="X85" s="4">
        <f t="shared" si="122"/>
        <v>1.00002066433231</v>
      </c>
      <c r="Y85" s="4">
        <f t="shared" si="123"/>
        <v>-0.00642868205327253</v>
      </c>
      <c r="Z85" t="str">
        <f t="shared" si="109"/>
        <v>0,999999982140721+0,00171533844545463i</v>
      </c>
      <c r="AA85" s="4">
        <f t="shared" si="124"/>
        <v>1.00000145333266</v>
      </c>
      <c r="AB85" s="4">
        <f t="shared" si="125"/>
        <v>0.00171533679369629</v>
      </c>
      <c r="AC85" s="67" t="str">
        <f t="shared" si="126"/>
        <v>52,2194012922551-20,2650318172893i</v>
      </c>
      <c r="AD85" s="68">
        <f t="shared" si="127"/>
        <v>34.9658890943204</v>
      </c>
      <c r="AE85" s="31">
        <f t="shared" si="128"/>
        <v>-21.2099761811988</v>
      </c>
      <c r="AF85" s="32" t="str">
        <f t="shared" si="129"/>
        <v>326,048966736478</v>
      </c>
      <c r="AG85" s="32" t="str">
        <f t="shared" si="110"/>
        <v>1+0,246864791660533i</v>
      </c>
      <c r="AH85" s="32">
        <f t="shared" si="130"/>
        <v>1.03002049754439</v>
      </c>
      <c r="AI85" s="32">
        <f t="shared" si="131"/>
        <v>0.242025709001574</v>
      </c>
      <c r="AJ85" s="32" t="str">
        <f t="shared" si="111"/>
        <v>1+0,00460814277766327i</v>
      </c>
      <c r="AK85" s="32">
        <f t="shared" si="132"/>
        <v>1.00001061743356</v>
      </c>
      <c r="AL85" s="32">
        <f t="shared" si="133"/>
        <v>0.00460811016013916</v>
      </c>
      <c r="AM85" s="32" t="str">
        <f t="shared" si="112"/>
        <v>1-0,000760503975621246i</v>
      </c>
      <c r="AN85" s="32">
        <f t="shared" si="134"/>
        <v>1.00000028918311</v>
      </c>
      <c r="AO85" s="32">
        <f t="shared" si="135"/>
        <v>-0.000760503829004674</v>
      </c>
      <c r="AP85" s="30" t="str">
        <f t="shared" si="136"/>
        <v>307,613174462915-74,6843435700417i</v>
      </c>
      <c r="AQ85" s="32">
        <f t="shared" si="137"/>
        <v>50.0088339519474</v>
      </c>
      <c r="AR85" s="31">
        <f t="shared" si="138"/>
        <v>-13.6466000554498</v>
      </c>
      <c r="AS85" t="str">
        <f t="shared" si="113"/>
        <v>-0,000100699300699301</v>
      </c>
      <c r="AT85" t="str">
        <f t="shared" si="114"/>
        <v>0,0000660363317691924i</v>
      </c>
      <c r="AU85">
        <f t="shared" si="139"/>
        <v>6.60363317691924e-5</v>
      </c>
      <c r="AV85">
        <f t="shared" si="140"/>
        <v>1.5707963267949</v>
      </c>
      <c r="AW85" t="str">
        <f t="shared" si="115"/>
        <v>1+0,00338093906395022i</v>
      </c>
      <c r="AX85">
        <f t="shared" si="141"/>
        <v>1.00000571535814</v>
      </c>
      <c r="AY85">
        <f t="shared" si="142"/>
        <v>0.00338092618181668</v>
      </c>
      <c r="AZ85" t="str">
        <f t="shared" si="116"/>
        <v>1+0,161637661206301i</v>
      </c>
      <c r="BA85">
        <f t="shared" si="143"/>
        <v>1.01297913775173</v>
      </c>
      <c r="BB85">
        <f t="shared" si="144"/>
        <v>0.160251636527181</v>
      </c>
      <c r="BC85" s="30" t="str">
        <f t="shared" si="145"/>
        <v>-0,241324111462822+1,52572344924065i</v>
      </c>
      <c r="BD85" s="32">
        <f t="shared" si="146"/>
        <v>3.7768306578706</v>
      </c>
      <c r="BE85" s="31">
        <f t="shared" si="147"/>
        <v>98.9880296320086</v>
      </c>
      <c r="BF85" s="30" t="str">
        <f t="shared" si="148"/>
        <v>18,3170336252721+84,5628058539743i</v>
      </c>
      <c r="BG85" s="68">
        <f t="shared" si="149"/>
        <v>38.742719752191</v>
      </c>
      <c r="BH85" s="31">
        <f t="shared" si="150"/>
        <v>77.7780534508098</v>
      </c>
      <c r="BI85" s="30" t="str">
        <f t="shared" si="103"/>
        <v>39,7131782744368+487,355766425649i</v>
      </c>
      <c r="BJ85" s="68">
        <f t="shared" si="151"/>
        <v>53.785664609818</v>
      </c>
      <c r="BK85" s="31">
        <f t="shared" si="104"/>
        <v>85.3414295765589</v>
      </c>
      <c r="BL85" s="32">
        <f t="shared" si="152"/>
        <v>38.742719752191</v>
      </c>
      <c r="BM85" s="31">
        <f t="shared" si="153"/>
        <v>77.7780534508098</v>
      </c>
      <c r="BO85">
        <f t="shared" si="154"/>
        <v>0</v>
      </c>
      <c r="BP85">
        <f t="shared" si="155"/>
        <v>0</v>
      </c>
    </row>
    <row r="86" spans="14:68">
      <c r="N86" s="7">
        <v>68</v>
      </c>
      <c r="O86" s="18">
        <f t="shared" si="117"/>
        <v>47.8630092322639</v>
      </c>
      <c r="P86" s="86" t="str">
        <f t="shared" si="105"/>
        <v>60</v>
      </c>
      <c r="Q86" s="4" t="str">
        <f t="shared" si="106"/>
        <v>1+0,392956684317666i</v>
      </c>
      <c r="R86" s="4">
        <f t="shared" si="118"/>
        <v>1.07443704131509</v>
      </c>
      <c r="S86" s="4">
        <f t="shared" si="119"/>
        <v>0.374419845688425</v>
      </c>
      <c r="T86" s="4" t="str">
        <f t="shared" si="107"/>
        <v>1+0,004715480211812i</v>
      </c>
      <c r="U86" s="4">
        <f t="shared" si="120"/>
        <v>1.00001111781501</v>
      </c>
      <c r="V86" s="4">
        <f t="shared" si="121"/>
        <v>0.00471544526152621</v>
      </c>
      <c r="W86" t="str">
        <f t="shared" si="108"/>
        <v>1-0,00657851592049665i</v>
      </c>
      <c r="X86" s="4">
        <f t="shared" si="122"/>
        <v>1.00002163820175</v>
      </c>
      <c r="Y86" s="4">
        <f t="shared" si="123"/>
        <v>-0.00657842102376421</v>
      </c>
      <c r="Z86" t="str">
        <f t="shared" si="109"/>
        <v>0,99999998129904+0,00175529381062348i</v>
      </c>
      <c r="AA86" s="4">
        <f t="shared" si="124"/>
        <v>1.00000152182606</v>
      </c>
      <c r="AB86" s="4">
        <f t="shared" si="125"/>
        <v>0.00175529204073267</v>
      </c>
      <c r="AC86" s="67" t="str">
        <f t="shared" si="126"/>
        <v>51,9017612924458-20,6122464030535i</v>
      </c>
      <c r="AD86" s="68">
        <f t="shared" si="127"/>
        <v>34.9396768566328</v>
      </c>
      <c r="AE86" s="31">
        <f t="shared" si="128"/>
        <v>-21.6599883981446</v>
      </c>
      <c r="AF86" s="32" t="str">
        <f t="shared" si="129"/>
        <v>326,048966736478</v>
      </c>
      <c r="AG86" s="32" t="str">
        <f t="shared" si="110"/>
        <v>1+0,252615011347071i</v>
      </c>
      <c r="AH86" s="32">
        <f t="shared" si="130"/>
        <v>1.03141375982575</v>
      </c>
      <c r="AI86" s="32">
        <f t="shared" si="131"/>
        <v>0.24743833188739</v>
      </c>
      <c r="AJ86" s="32" t="str">
        <f t="shared" si="111"/>
        <v>1+0,004715480211812i</v>
      </c>
      <c r="AK86" s="32">
        <f t="shared" si="132"/>
        <v>1.00001111781501</v>
      </c>
      <c r="AL86" s="32">
        <f t="shared" si="133"/>
        <v>0.00471544526152621</v>
      </c>
      <c r="AM86" s="32" t="str">
        <f t="shared" si="112"/>
        <v>1-0,000778218388854875i</v>
      </c>
      <c r="AN86" s="32">
        <f t="shared" si="134"/>
        <v>1.00000030281188</v>
      </c>
      <c r="AO86" s="32">
        <f t="shared" si="135"/>
        <v>-0.00077821823175239</v>
      </c>
      <c r="AP86" s="30" t="str">
        <f t="shared" si="136"/>
        <v>306,796441611966-76,2176464299017i</v>
      </c>
      <c r="AQ86" s="32">
        <f t="shared" si="137"/>
        <v>49.9970973443074</v>
      </c>
      <c r="AR86" s="31">
        <f t="shared" si="138"/>
        <v>-13.9515856151139</v>
      </c>
      <c r="AS86" t="str">
        <f t="shared" si="113"/>
        <v>-0,000100699300699301</v>
      </c>
      <c r="AT86" t="str">
        <f t="shared" si="114"/>
        <v>0,0000675745155353417i</v>
      </c>
      <c r="AU86">
        <f t="shared" si="139"/>
        <v>6.75745155353417e-5</v>
      </c>
      <c r="AV86">
        <f t="shared" si="140"/>
        <v>1.5707963267949</v>
      </c>
      <c r="AW86" t="str">
        <f t="shared" si="115"/>
        <v>1+0,00345969125146852i</v>
      </c>
      <c r="AX86">
        <f t="shared" si="141"/>
        <v>1.00000598471387</v>
      </c>
      <c r="AY86">
        <f t="shared" si="142"/>
        <v>0.0034596774480182</v>
      </c>
      <c r="AZ86" t="str">
        <f t="shared" si="116"/>
        <v>1+0,165402686001058i</v>
      </c>
      <c r="BA86">
        <f t="shared" si="143"/>
        <v>1.01358672472382</v>
      </c>
      <c r="BB86">
        <f t="shared" si="144"/>
        <v>0.163918606881541</v>
      </c>
      <c r="BC86" s="30" t="str">
        <f t="shared" si="145"/>
        <v>-0,241323981459554+1,49103132003453i</v>
      </c>
      <c r="BD86" s="32">
        <f t="shared" si="146"/>
        <v>3.58203657097117</v>
      </c>
      <c r="BE86" s="31">
        <f t="shared" si="147"/>
        <v>99.1936194417284</v>
      </c>
      <c r="BF86" s="30" t="str">
        <f t="shared" si="148"/>
        <v>18,2083652833655+82,3613810208028i</v>
      </c>
      <c r="BG86" s="68">
        <f t="shared" si="149"/>
        <v>38.521713427604</v>
      </c>
      <c r="BH86" s="31">
        <f t="shared" si="150"/>
        <v>77.5336310435838</v>
      </c>
      <c r="BI86" s="30" t="str">
        <f t="shared" si="103"/>
        <v>39,6055591788782+475,836249212527i</v>
      </c>
      <c r="BJ86" s="68">
        <f t="shared" si="151"/>
        <v>53.5791339152785</v>
      </c>
      <c r="BK86" s="31">
        <f t="shared" si="104"/>
        <v>85.2420338266144</v>
      </c>
      <c r="BL86" s="32">
        <f t="shared" si="152"/>
        <v>38.521713427604</v>
      </c>
      <c r="BM86" s="31">
        <f t="shared" si="153"/>
        <v>77.5336310435838</v>
      </c>
      <c r="BO86">
        <f t="shared" si="154"/>
        <v>0</v>
      </c>
      <c r="BP86">
        <f t="shared" si="155"/>
        <v>0</v>
      </c>
    </row>
    <row r="87" spans="14:68">
      <c r="N87" s="7">
        <v>69</v>
      </c>
      <c r="O87" s="18">
        <f t="shared" si="117"/>
        <v>48.9778819368446</v>
      </c>
      <c r="P87" s="86" t="str">
        <f t="shared" si="105"/>
        <v>60</v>
      </c>
      <c r="Q87" s="4" t="str">
        <f t="shared" si="106"/>
        <v>1+0,402109821332148i</v>
      </c>
      <c r="R87" s="4">
        <f t="shared" si="118"/>
        <v>1.0778183095549</v>
      </c>
      <c r="S87" s="4">
        <f t="shared" si="119"/>
        <v>0.382323864336266</v>
      </c>
      <c r="T87" s="4" t="str">
        <f t="shared" si="107"/>
        <v>1+0,00482531785598578i</v>
      </c>
      <c r="U87" s="4">
        <f t="shared" si="120"/>
        <v>1.00001164177844</v>
      </c>
      <c r="V87" s="4">
        <f t="shared" si="121"/>
        <v>0.00482528040610338</v>
      </c>
      <c r="W87" t="str">
        <f t="shared" si="108"/>
        <v>1-0,00673174924105158i</v>
      </c>
      <c r="X87" s="4">
        <f t="shared" si="122"/>
        <v>1.00002265796723</v>
      </c>
      <c r="Y87" s="4">
        <f t="shared" si="123"/>
        <v>-0.0067316475574952</v>
      </c>
      <c r="Z87" t="str">
        <f t="shared" si="109"/>
        <v>0,99999998041769+0,00179617985580479i</v>
      </c>
      <c r="AA87" s="4">
        <f t="shared" si="124"/>
        <v>1.00000159354746</v>
      </c>
      <c r="AB87" s="4">
        <f t="shared" si="125"/>
        <v>0.00179617795933278</v>
      </c>
      <c r="AC87" s="67" t="str">
        <f t="shared" si="126"/>
        <v>51,5732248288591-20,960259686324i</v>
      </c>
      <c r="AD87" s="68">
        <f t="shared" si="127"/>
        <v>34.9123979483525</v>
      </c>
      <c r="AE87" s="31">
        <f t="shared" si="128"/>
        <v>-22.1176840419017</v>
      </c>
      <c r="AF87" s="32" t="str">
        <f t="shared" si="129"/>
        <v>326,048966736478</v>
      </c>
      <c r="AG87" s="32" t="str">
        <f t="shared" si="110"/>
        <v>1+0,258499170856381i</v>
      </c>
      <c r="AH87" s="32">
        <f t="shared" si="130"/>
        <v>1.03287067018743</v>
      </c>
      <c r="AI87" s="32">
        <f t="shared" si="131"/>
        <v>0.252961748213795</v>
      </c>
      <c r="AJ87" s="32" t="str">
        <f t="shared" si="111"/>
        <v>1+0,00482531785598578i</v>
      </c>
      <c r="AK87" s="32">
        <f t="shared" si="132"/>
        <v>1.00001164177844</v>
      </c>
      <c r="AL87" s="32">
        <f t="shared" si="133"/>
        <v>0.00482528040610338</v>
      </c>
      <c r="AM87" s="32" t="str">
        <f t="shared" si="112"/>
        <v>1-0,000796345423779211i</v>
      </c>
      <c r="AN87" s="32">
        <f t="shared" si="134"/>
        <v>1.00000031708297</v>
      </c>
      <c r="AO87" s="32">
        <f t="shared" si="135"/>
        <v>-0.000796345255440869</v>
      </c>
      <c r="AP87" s="30" t="str">
        <f t="shared" si="136"/>
        <v>305,945930741934-77,7731271251429i</v>
      </c>
      <c r="AQ87" s="32">
        <f t="shared" si="137"/>
        <v>49.9848415337485</v>
      </c>
      <c r="AR87" s="31">
        <f t="shared" si="138"/>
        <v>-14.2627995708366</v>
      </c>
      <c r="AS87" t="str">
        <f t="shared" si="113"/>
        <v>-0,000100699300699301</v>
      </c>
      <c r="AT87" t="str">
        <f t="shared" si="114"/>
        <v>0,000069148528204082i</v>
      </c>
      <c r="AU87">
        <f t="shared" si="139"/>
        <v>6.9148528204082e-5</v>
      </c>
      <c r="AV87">
        <f t="shared" si="140"/>
        <v>1.5707963267949</v>
      </c>
      <c r="AW87" t="str">
        <f t="shared" si="115"/>
        <v>1+0,00354027781308276i</v>
      </c>
      <c r="AX87">
        <f t="shared" si="141"/>
        <v>1.00000626676386</v>
      </c>
      <c r="AY87">
        <f t="shared" si="142"/>
        <v>0.00354026302242427</v>
      </c>
      <c r="AZ87" t="str">
        <f t="shared" si="116"/>
        <v>1+0,169255409489297i</v>
      </c>
      <c r="BA87">
        <f t="shared" si="143"/>
        <v>1.01422255626731</v>
      </c>
      <c r="BB87">
        <f t="shared" si="144"/>
        <v>0.167666391966108</v>
      </c>
      <c r="BC87" s="30" t="str">
        <f t="shared" si="145"/>
        <v>-0,241323845329574+1,45712975532803i</v>
      </c>
      <c r="BD87" s="32">
        <f t="shared" si="146"/>
        <v>3.38748114501831</v>
      </c>
      <c r="BE87" s="31">
        <f t="shared" si="147"/>
        <v>99.403734496293</v>
      </c>
      <c r="BF87" s="30" t="str">
        <f t="shared" si="148"/>
        <v>18,0959691365983+80,2070909429631i</v>
      </c>
      <c r="BG87" s="68">
        <f t="shared" si="149"/>
        <v>38.2998790933708</v>
      </c>
      <c r="BH87" s="31">
        <f t="shared" si="150"/>
        <v>77.2860504543914</v>
      </c>
      <c r="BI87" s="30" t="str">
        <f t="shared" si="103"/>
        <v>39,4934892293762+464,571429306746i</v>
      </c>
      <c r="BJ87" s="68">
        <f t="shared" si="151"/>
        <v>53.3723226787668</v>
      </c>
      <c r="BK87" s="31">
        <f t="shared" si="104"/>
        <v>85.1409349254564</v>
      </c>
      <c r="BL87" s="32">
        <f t="shared" si="152"/>
        <v>38.2998790933708</v>
      </c>
      <c r="BM87" s="31">
        <f t="shared" si="153"/>
        <v>77.2860504543914</v>
      </c>
      <c r="BO87">
        <f t="shared" si="154"/>
        <v>0</v>
      </c>
      <c r="BP87">
        <f t="shared" si="155"/>
        <v>0</v>
      </c>
    </row>
    <row r="88" spans="14:68">
      <c r="N88" s="7">
        <v>70</v>
      </c>
      <c r="O88" s="18">
        <f t="shared" si="117"/>
        <v>50.1187233627272</v>
      </c>
      <c r="P88" s="86" t="str">
        <f t="shared" si="105"/>
        <v>60</v>
      </c>
      <c r="Q88" s="4" t="str">
        <f t="shared" si="106"/>
        <v>1+0,411476162296454i</v>
      </c>
      <c r="R88" s="4">
        <f t="shared" si="118"/>
        <v>1.081347600052</v>
      </c>
      <c r="S88" s="4">
        <f t="shared" si="119"/>
        <v>0.390360305334342</v>
      </c>
      <c r="T88" s="4" t="str">
        <f t="shared" si="107"/>
        <v>1+0,00493771394755745i</v>
      </c>
      <c r="U88" s="4">
        <f t="shared" si="120"/>
        <v>1.00001219043521</v>
      </c>
      <c r="V88" s="4">
        <f t="shared" si="121"/>
        <v>0.0049376738193119</v>
      </c>
      <c r="W88" t="str">
        <f t="shared" si="108"/>
        <v>1-0,00688855182415938i</v>
      </c>
      <c r="X88" s="4">
        <f t="shared" si="122"/>
        <v>1.00002372579166</v>
      </c>
      <c r="Y88" s="4">
        <f t="shared" si="123"/>
        <v>-0.00688844286840531</v>
      </c>
      <c r="Z88" t="str">
        <f t="shared" si="109"/>
        <v>0,999999979494805+0,0018380182593209i</v>
      </c>
      <c r="AA88" s="4">
        <f t="shared" si="124"/>
        <v>1.00000166864897</v>
      </c>
      <c r="AB88" s="4">
        <f t="shared" si="125"/>
        <v>0.00183801622721472</v>
      </c>
      <c r="AC88" s="67" t="str">
        <f t="shared" si="126"/>
        <v>51,233587914598-21,3087344939168i</v>
      </c>
      <c r="AD88" s="68">
        <f t="shared" si="127"/>
        <v>34.8840160611754</v>
      </c>
      <c r="AE88" s="31">
        <f t="shared" si="128"/>
        <v>-22.5830793909097</v>
      </c>
      <c r="AF88" s="32" t="str">
        <f t="shared" si="129"/>
        <v>326,048966736478</v>
      </c>
      <c r="AG88" s="32" t="str">
        <f t="shared" si="110"/>
        <v>1+0,26452039004772i</v>
      </c>
      <c r="AH88" s="32">
        <f t="shared" si="130"/>
        <v>1.03439404326929</v>
      </c>
      <c r="AI88" s="32">
        <f t="shared" si="131"/>
        <v>0.258597537927825</v>
      </c>
      <c r="AJ88" s="32" t="str">
        <f t="shared" si="111"/>
        <v>1+0,00493771394755745i</v>
      </c>
      <c r="AK88" s="32">
        <f t="shared" si="132"/>
        <v>1.00001219043521</v>
      </c>
      <c r="AL88" s="32">
        <f t="shared" si="133"/>
        <v>0.0049376738193119</v>
      </c>
      <c r="AM88" s="32" t="str">
        <f t="shared" si="112"/>
        <v>1-0,000814894691588116i</v>
      </c>
      <c r="AN88" s="32">
        <f t="shared" si="134"/>
        <v>1.00000033202662</v>
      </c>
      <c r="AO88" s="32">
        <f t="shared" si="135"/>
        <v>-0.000814894511210336</v>
      </c>
      <c r="AP88" s="30" t="str">
        <f t="shared" si="136"/>
        <v>305,060461074723-79,3504711931729i</v>
      </c>
      <c r="AQ88" s="32">
        <f t="shared" si="137"/>
        <v>49.9720451145765</v>
      </c>
      <c r="AR88" s="31">
        <f t="shared" si="138"/>
        <v>-14.5803296615205</v>
      </c>
      <c r="AS88" t="str">
        <f t="shared" si="113"/>
        <v>-0,000100699300699301</v>
      </c>
      <c r="AT88" t="str">
        <f t="shared" si="114"/>
        <v>0,0000707592043377651i</v>
      </c>
      <c r="AU88">
        <f t="shared" si="139"/>
        <v>7.07592043377651e-5</v>
      </c>
      <c r="AV88">
        <f t="shared" si="140"/>
        <v>1.5707963267949</v>
      </c>
      <c r="AW88" t="str">
        <f t="shared" si="115"/>
        <v>1+0,00362274147685463i</v>
      </c>
      <c r="AX88">
        <f t="shared" si="141"/>
        <v>1.00000656210637</v>
      </c>
      <c r="AY88">
        <f t="shared" si="142"/>
        <v>0.00362272562838414</v>
      </c>
      <c r="AZ88" t="str">
        <f t="shared" si="116"/>
        <v>1+0,173197874436007i</v>
      </c>
      <c r="BA88">
        <f t="shared" si="143"/>
        <v>1.01488792667425</v>
      </c>
      <c r="BB88">
        <f t="shared" si="144"/>
        <v>0.171496557565895</v>
      </c>
      <c r="BC88" s="30" t="str">
        <f t="shared" si="145"/>
        <v>-0,241323702784149+1,42400078005975i</v>
      </c>
      <c r="BD88" s="32">
        <f t="shared" si="146"/>
        <v>3.19317500106439</v>
      </c>
      <c r="BE88" s="31">
        <f t="shared" si="147"/>
        <v>99.6184620607079</v>
      </c>
      <c r="BF88" s="30" t="str">
        <f t="shared" si="148"/>
        <v>17,9797753989556+78,0989718653637i</v>
      </c>
      <c r="BG88" s="68">
        <f t="shared" si="149"/>
        <v>38.0771910622398</v>
      </c>
      <c r="BH88" s="31">
        <f t="shared" si="150"/>
        <v>77.0353826697982</v>
      </c>
      <c r="BI88" s="30" t="str">
        <f t="shared" si="103"/>
        <v>39,376812837595+453,555484061796i</v>
      </c>
      <c r="BJ88" s="68">
        <f t="shared" si="151"/>
        <v>53.1652201156409</v>
      </c>
      <c r="BK88" s="31">
        <f t="shared" si="104"/>
        <v>85.0381323991874</v>
      </c>
      <c r="BL88" s="32">
        <f t="shared" si="152"/>
        <v>38.0771910622398</v>
      </c>
      <c r="BM88" s="31">
        <f t="shared" si="153"/>
        <v>77.0353826697982</v>
      </c>
      <c r="BO88">
        <f t="shared" si="154"/>
        <v>0</v>
      </c>
      <c r="BP88">
        <f t="shared" si="155"/>
        <v>0</v>
      </c>
    </row>
    <row r="89" spans="14:68">
      <c r="N89" s="7">
        <v>71</v>
      </c>
      <c r="O89" s="18">
        <f t="shared" si="117"/>
        <v>51.2861383991365</v>
      </c>
      <c r="P89" s="86" t="str">
        <f t="shared" si="105"/>
        <v>60</v>
      </c>
      <c r="Q89" s="4" t="str">
        <f t="shared" si="106"/>
        <v>1+0,421060673368539i</v>
      </c>
      <c r="R89" s="4">
        <f t="shared" si="118"/>
        <v>1.08503091691323</v>
      </c>
      <c r="S89" s="4">
        <f t="shared" si="119"/>
        <v>0.398529276437462</v>
      </c>
      <c r="T89" s="4" t="str">
        <f t="shared" si="107"/>
        <v>1+0,00505272808042247i</v>
      </c>
      <c r="U89" s="4">
        <f t="shared" si="120"/>
        <v>1.00001276494906</v>
      </c>
      <c r="V89" s="4">
        <f t="shared" si="121"/>
        <v>0.00505268508226232</v>
      </c>
      <c r="W89" t="str">
        <f t="shared" si="108"/>
        <v>1-0,0070490068086251i</v>
      </c>
      <c r="X89" s="4">
        <f t="shared" si="122"/>
        <v>1.00002484393988</v>
      </c>
      <c r="Y89" s="4">
        <f t="shared" si="123"/>
        <v>-0.00704889006058784</v>
      </c>
      <c r="Z89" t="str">
        <f t="shared" si="109"/>
        <v>0,999999978528425+0,00188083120444714i</v>
      </c>
      <c r="AA89" s="4">
        <f t="shared" si="124"/>
        <v>1.00000174728991</v>
      </c>
      <c r="AB89" s="4">
        <f t="shared" si="125"/>
        <v>0.00188082902700634</v>
      </c>
      <c r="AC89" s="67" t="str">
        <f t="shared" si="126"/>
        <v>50,8826568776329-21,6573155674612i</v>
      </c>
      <c r="AD89" s="68">
        <f t="shared" si="127"/>
        <v>34.8544942308944</v>
      </c>
      <c r="AE89" s="31">
        <f t="shared" si="128"/>
        <v>-23.0561832378033</v>
      </c>
      <c r="AF89" s="32" t="str">
        <f t="shared" si="129"/>
        <v>326,048966736478</v>
      </c>
      <c r="AG89" s="32" t="str">
        <f t="shared" si="110"/>
        <v>1+0,270681861451204i</v>
      </c>
      <c r="AH89" s="32">
        <f t="shared" si="130"/>
        <v>1.03598680981887</v>
      </c>
      <c r="AI89" s="32">
        <f t="shared" si="131"/>
        <v>0.264347256567381</v>
      </c>
      <c r="AJ89" s="32" t="str">
        <f t="shared" si="111"/>
        <v>1+0,00505272808042247i</v>
      </c>
      <c r="AK89" s="32">
        <f t="shared" si="132"/>
        <v>1.00001276494906</v>
      </c>
      <c r="AL89" s="32">
        <f t="shared" si="133"/>
        <v>0.00505268508226232</v>
      </c>
      <c r="AM89" s="32" t="str">
        <f t="shared" si="112"/>
        <v>1-0,000833876027348905i</v>
      </c>
      <c r="AN89" s="32">
        <f t="shared" si="134"/>
        <v>1.00000034767455</v>
      </c>
      <c r="AO89" s="32">
        <f t="shared" si="135"/>
        <v>-0.000833875834070635</v>
      </c>
      <c r="AP89" s="30" t="str">
        <f t="shared" si="136"/>
        <v>304,13882996302-80,9493122812627i</v>
      </c>
      <c r="AQ89" s="32">
        <f t="shared" si="137"/>
        <v>49.9586859388741</v>
      </c>
      <c r="AR89" s="31">
        <f t="shared" si="138"/>
        <v>-14.9042621626807</v>
      </c>
      <c r="AS89" t="str">
        <f t="shared" si="113"/>
        <v>-0,000100699300699301</v>
      </c>
      <c r="AT89" t="str">
        <f t="shared" si="114"/>
        <v>0,0000724073979381971i</v>
      </c>
      <c r="AU89">
        <f t="shared" si="139"/>
        <v>7.24073979381971e-5</v>
      </c>
      <c r="AV89">
        <f t="shared" si="140"/>
        <v>1.5707963267949</v>
      </c>
      <c r="AW89" t="str">
        <f t="shared" si="115"/>
        <v>1+0,00370712596611017i</v>
      </c>
      <c r="AX89">
        <f t="shared" si="141"/>
        <v>1.00000687136786</v>
      </c>
      <c r="AY89">
        <f t="shared" si="142"/>
        <v>0.00370710898417438</v>
      </c>
      <c r="AZ89" t="str">
        <f t="shared" si="116"/>
        <v>1+0,177232171188288i</v>
      </c>
      <c r="BA89">
        <f t="shared" si="143"/>
        <v>1.01558418779741</v>
      </c>
      <c r="BB89">
        <f t="shared" si="144"/>
        <v>0.175410684746759</v>
      </c>
      <c r="BC89" s="30" t="str">
        <f t="shared" si="145"/>
        <v>-0,241323553520945+1,39162682880525i</v>
      </c>
      <c r="BD89" s="32">
        <f t="shared" si="146"/>
        <v>2.99912920289649</v>
      </c>
      <c r="BE89" s="31">
        <f t="shared" si="147"/>
        <v>99.8378902185009</v>
      </c>
      <c r="BF89" s="30" t="str">
        <f t="shared" si="148"/>
        <v>17,8597178132833+76,0360907842701i</v>
      </c>
      <c r="BG89" s="68">
        <f t="shared" si="149"/>
        <v>37.8536234337909</v>
      </c>
      <c r="BH89" s="31">
        <f t="shared" si="150"/>
        <v>76.7817069806976</v>
      </c>
      <c r="BI89" s="30" t="str">
        <f t="shared" si="103"/>
        <v>39,255371533561+442,782731152768i</v>
      </c>
      <c r="BJ89" s="68">
        <f t="shared" si="151"/>
        <v>52.9578151417706</v>
      </c>
      <c r="BK89" s="31">
        <f t="shared" si="104"/>
        <v>84.9336280558202</v>
      </c>
      <c r="BL89" s="32">
        <f t="shared" si="152"/>
        <v>37.8536234337909</v>
      </c>
      <c r="BM89" s="31">
        <f t="shared" si="153"/>
        <v>76.7817069806976</v>
      </c>
      <c r="BO89">
        <f t="shared" si="154"/>
        <v>0</v>
      </c>
      <c r="BP89">
        <f t="shared" si="155"/>
        <v>0</v>
      </c>
    </row>
    <row r="90" spans="14:68">
      <c r="N90" s="7">
        <v>72</v>
      </c>
      <c r="O90" s="18">
        <f t="shared" si="117"/>
        <v>52.4807460249773</v>
      </c>
      <c r="P90" s="86" t="str">
        <f t="shared" si="105"/>
        <v>60</v>
      </c>
      <c r="Q90" s="4" t="str">
        <f t="shared" si="106"/>
        <v>1+0,430868436383042i</v>
      </c>
      <c r="R90" s="4">
        <f t="shared" si="118"/>
        <v>1.08887446910613</v>
      </c>
      <c r="S90" s="4">
        <f t="shared" si="119"/>
        <v>0.406830746832675</v>
      </c>
      <c r="T90" s="4" t="str">
        <f t="shared" si="107"/>
        <v>1+0,00517042123659651i</v>
      </c>
      <c r="U90" s="4">
        <f t="shared" si="120"/>
        <v>1.00001336653855</v>
      </c>
      <c r="V90" s="4">
        <f t="shared" si="121"/>
        <v>0.00517037516327108</v>
      </c>
      <c r="W90" t="str">
        <f t="shared" si="108"/>
        <v>1-0,0072131992698054i</v>
      </c>
      <c r="X90" s="4">
        <f t="shared" si="122"/>
        <v>1.00002601478347</v>
      </c>
      <c r="Y90" s="4">
        <f t="shared" si="123"/>
        <v>-0.00721307417220539</v>
      </c>
      <c r="Z90" t="str">
        <f t="shared" si="109"/>
        <v>0,9999999775165+0,00192464139117374i</v>
      </c>
      <c r="AA90" s="4">
        <f t="shared" si="124"/>
        <v>1.00000182963707</v>
      </c>
      <c r="AB90" s="4">
        <f t="shared" si="125"/>
        <v>0.00192463905800412</v>
      </c>
      <c r="AC90" s="67" t="str">
        <f t="shared" si="126"/>
        <v>50,5202496945248-22,0056295899843i</v>
      </c>
      <c r="AD90" s="68">
        <f t="shared" si="127"/>
        <v>34.8237948737245</v>
      </c>
      <c r="AE90" s="31">
        <f t="shared" si="128"/>
        <v>-23.5369964968047</v>
      </c>
      <c r="AF90" s="32" t="str">
        <f t="shared" si="129"/>
        <v>326,048966736478</v>
      </c>
      <c r="AG90" s="32" t="str">
        <f t="shared" si="110"/>
        <v>1+0,276986851960527i</v>
      </c>
      <c r="AH90" s="32">
        <f t="shared" si="130"/>
        <v>1.03765202074636</v>
      </c>
      <c r="AI90" s="32">
        <f t="shared" si="131"/>
        <v>0.270212431435571</v>
      </c>
      <c r="AJ90" s="32" t="str">
        <f t="shared" si="111"/>
        <v>1+0,00517042123659651i</v>
      </c>
      <c r="AK90" s="32">
        <f t="shared" si="132"/>
        <v>1.00001336653855</v>
      </c>
      <c r="AL90" s="32">
        <f t="shared" si="133"/>
        <v>0.00517037516327108</v>
      </c>
      <c r="AM90" s="32" t="str">
        <f t="shared" si="112"/>
        <v>1-0,00085329949521705i</v>
      </c>
      <c r="AN90" s="32">
        <f t="shared" si="134"/>
        <v>1.00000036405995</v>
      </c>
      <c r="AO90" s="32">
        <f t="shared" si="135"/>
        <v>-0.000853299288115656</v>
      </c>
      <c r="AP90" s="30" t="str">
        <f t="shared" si="136"/>
        <v>303,179814352734-82,5692292724886i</v>
      </c>
      <c r="AQ90" s="32">
        <f t="shared" si="137"/>
        <v>49.9447411033403</v>
      </c>
      <c r="AR90" s="31">
        <f t="shared" si="138"/>
        <v>-15.2346816657422</v>
      </c>
      <c r="AS90" t="str">
        <f t="shared" si="113"/>
        <v>-0,000100699300699301</v>
      </c>
      <c r="AT90" t="str">
        <f t="shared" si="114"/>
        <v>0,000074093982899441i</v>
      </c>
      <c r="AU90">
        <f t="shared" si="139"/>
        <v>7.4093982899441e-5</v>
      </c>
      <c r="AV90">
        <f t="shared" si="140"/>
        <v>1.5707963267949</v>
      </c>
      <c r="AW90" t="str">
        <f t="shared" si="115"/>
        <v>1+0,00379347602262256i</v>
      </c>
      <c r="AX90">
        <f t="shared" si="141"/>
        <v>1.00000719520428</v>
      </c>
      <c r="AY90">
        <f t="shared" si="142"/>
        <v>0.0037934578261576</v>
      </c>
      <c r="AZ90" t="str">
        <f t="shared" si="116"/>
        <v>1+0,181360438783678i</v>
      </c>
      <c r="BA90">
        <f t="shared" si="143"/>
        <v>1.016312751448</v>
      </c>
      <c r="BB90">
        <f t="shared" si="144"/>
        <v>0.179410368864225</v>
      </c>
      <c r="BC90" s="30" t="str">
        <f t="shared" si="145"/>
        <v>-0,24132339722338+1,35999073646357i</v>
      </c>
      <c r="BD90" s="32">
        <f t="shared" si="146"/>
        <v>2.80535527269863</v>
      </c>
      <c r="BE90" s="31">
        <f t="shared" si="147"/>
        <v>100.062107813606</v>
      </c>
      <c r="BF90" s="30" t="str">
        <f t="shared" si="148"/>
        <v>17,7357341075711+74,0175448790746i</v>
      </c>
      <c r="BG90" s="68">
        <f t="shared" si="149"/>
        <v>37.6291501464231</v>
      </c>
      <c r="BH90" s="31">
        <f t="shared" si="150"/>
        <v>76.525111316801</v>
      </c>
      <c r="BI90" s="30" t="str">
        <f t="shared" si="103"/>
        <v>39,1290041583657+432,247625916616i</v>
      </c>
      <c r="BJ90" s="68">
        <f t="shared" si="151"/>
        <v>52.7500963760389</v>
      </c>
      <c r="BK90" s="31">
        <f t="shared" si="104"/>
        <v>84.8274261478634</v>
      </c>
      <c r="BL90" s="32">
        <f t="shared" si="152"/>
        <v>37.6291501464231</v>
      </c>
      <c r="BM90" s="31">
        <f t="shared" si="153"/>
        <v>76.525111316801</v>
      </c>
      <c r="BO90">
        <f t="shared" si="154"/>
        <v>0</v>
      </c>
      <c r="BP90">
        <f t="shared" si="155"/>
        <v>0</v>
      </c>
    </row>
    <row r="91" spans="14:68">
      <c r="N91" s="7">
        <v>73</v>
      </c>
      <c r="O91" s="18">
        <f t="shared" si="117"/>
        <v>53.7031796370253</v>
      </c>
      <c r="P91" s="86" t="str">
        <f t="shared" si="105"/>
        <v>60</v>
      </c>
      <c r="Q91" s="4" t="str">
        <f t="shared" si="106"/>
        <v>1+0,440904651545732i</v>
      </c>
      <c r="R91" s="4">
        <f t="shared" si="118"/>
        <v>1.09288467449894</v>
      </c>
      <c r="S91" s="4">
        <f t="shared" si="119"/>
        <v>0.415264540290471</v>
      </c>
      <c r="T91" s="4" t="str">
        <f t="shared" si="107"/>
        <v>1+0,00529085581854879i</v>
      </c>
      <c r="U91" s="4">
        <f t="shared" si="120"/>
        <v>1.0000139964797</v>
      </c>
      <c r="V91" s="4">
        <f t="shared" si="121"/>
        <v>0.00529080645012845</v>
      </c>
      <c r="W91" t="str">
        <f t="shared" si="108"/>
        <v>1-0,00738121626471651i</v>
      </c>
      <c r="X91" s="4">
        <f t="shared" si="122"/>
        <v>1.00002724080574</v>
      </c>
      <c r="Y91" s="4">
        <f t="shared" si="123"/>
        <v>-0.00738108222042027</v>
      </c>
      <c r="Z91" t="str">
        <f t="shared" si="109"/>
        <v>0,999999976456886+0,00196947204824156i</v>
      </c>
      <c r="AA91" s="4">
        <f t="shared" si="124"/>
        <v>1.00000191586513</v>
      </c>
      <c r="AB91" s="4">
        <f t="shared" si="125"/>
        <v>0.00196946954820552</v>
      </c>
      <c r="AC91" s="67" t="str">
        <f t="shared" si="126"/>
        <v>50,1461973701217-22,3532853059645i</v>
      </c>
      <c r="AD91" s="68">
        <f t="shared" si="127"/>
        <v>34.7918798271126</v>
      </c>
      <c r="AE91" s="31">
        <f t="shared" si="128"/>
        <v>-24.0255118127322</v>
      </c>
      <c r="AF91" s="32" t="str">
        <f t="shared" si="129"/>
        <v>326,048966736478</v>
      </c>
      <c r="AG91" s="32" t="str">
        <f t="shared" si="110"/>
        <v>1+0,283438704565114i</v>
      </c>
      <c r="AH91" s="32">
        <f t="shared" si="130"/>
        <v>1.03939285125767</v>
      </c>
      <c r="AI91" s="32">
        <f t="shared" si="131"/>
        <v>0.276194557567186</v>
      </c>
      <c r="AJ91" s="32" t="str">
        <f t="shared" si="111"/>
        <v>1+0,00529085581854879i</v>
      </c>
      <c r="AK91" s="32">
        <f t="shared" si="132"/>
        <v>1.0000139964797</v>
      </c>
      <c r="AL91" s="32">
        <f t="shared" si="133"/>
        <v>0.00529080645012845</v>
      </c>
      <c r="AM91" s="32" t="str">
        <f t="shared" si="112"/>
        <v>1-0,000873175393772311i</v>
      </c>
      <c r="AN91" s="32">
        <f t="shared" si="134"/>
        <v>1.00000038121756</v>
      </c>
      <c r="AO91" s="32">
        <f t="shared" si="135"/>
        <v>-0.000873175171859174</v>
      </c>
      <c r="AP91" s="30" t="str">
        <f t="shared" si="136"/>
        <v>302,182172460499-84,2097433670055i</v>
      </c>
      <c r="AQ91" s="32">
        <f t="shared" si="137"/>
        <v>49.9301869371081</v>
      </c>
      <c r="AR91" s="31">
        <f t="shared" si="138"/>
        <v>-15.5716708453931</v>
      </c>
      <c r="AS91" t="str">
        <f t="shared" si="113"/>
        <v>-0,000100699300699301</v>
      </c>
      <c r="AT91" t="str">
        <f t="shared" si="114"/>
        <v>0,000075819853471168i</v>
      </c>
      <c r="AU91">
        <f t="shared" si="139"/>
        <v>7.5819853471168e-5</v>
      </c>
      <c r="AV91">
        <f t="shared" si="140"/>
        <v>1.5707963267949</v>
      </c>
      <c r="AW91" t="str">
        <f t="shared" si="115"/>
        <v>1+0,00388183743033473i</v>
      </c>
      <c r="AX91">
        <f t="shared" si="141"/>
        <v>1.00000753430253</v>
      </c>
      <c r="AY91">
        <f t="shared" si="142"/>
        <v>0.00388181793247917</v>
      </c>
      <c r="AZ91" t="str">
        <f t="shared" si="116"/>
        <v>1+0,1855848660843i</v>
      </c>
      <c r="BA91">
        <f t="shared" si="143"/>
        <v>1.01707509187844</v>
      </c>
      <c r="BB91">
        <f t="shared" si="144"/>
        <v>0.183497218471946</v>
      </c>
      <c r="BC91" s="30" t="str">
        <f t="shared" si="145"/>
        <v>-0,241323233559956+1,32907572915607i</v>
      </c>
      <c r="BD91" s="32">
        <f t="shared" si="146"/>
        <v>2.6118652070032</v>
      </c>
      <c r="BE91" s="31">
        <f t="shared" si="147"/>
        <v>100.291204386463</v>
      </c>
      <c r="BF91" s="30" t="str">
        <f t="shared" si="148"/>
        <v>17,6077664669649+72,0424609248223i</v>
      </c>
      <c r="BG91" s="68">
        <f t="shared" si="149"/>
        <v>37.4037450341158</v>
      </c>
      <c r="BH91" s="31">
        <f t="shared" si="150"/>
        <v>76.2656925737311</v>
      </c>
      <c r="BI91" s="30" t="str">
        <f t="shared" si="103"/>
        <v>38,9975470852085+421,944758767483i</v>
      </c>
      <c r="BJ91" s="68">
        <f t="shared" si="151"/>
        <v>52.5420521441113</v>
      </c>
      <c r="BK91" s="31">
        <f t="shared" si="104"/>
        <v>84.7195335410702</v>
      </c>
      <c r="BL91" s="32">
        <f t="shared" si="152"/>
        <v>37.4037450341158</v>
      </c>
      <c r="BM91" s="31">
        <f t="shared" si="153"/>
        <v>76.2656925737311</v>
      </c>
      <c r="BO91">
        <f t="shared" si="154"/>
        <v>0</v>
      </c>
      <c r="BP91">
        <f t="shared" si="155"/>
        <v>0</v>
      </c>
    </row>
    <row r="92" spans="14:68">
      <c r="N92" s="7">
        <v>74</v>
      </c>
      <c r="O92" s="18">
        <f t="shared" si="117"/>
        <v>54.9540873857625</v>
      </c>
      <c r="P92" s="86" t="str">
        <f t="shared" si="105"/>
        <v>60</v>
      </c>
      <c r="Q92" s="4" t="str">
        <f t="shared" si="106"/>
        <v>1+0,451174640190736i</v>
      </c>
      <c r="R92" s="4">
        <f t="shared" si="118"/>
        <v>1.09706816376707</v>
      </c>
      <c r="S92" s="4">
        <f t="shared" si="119"/>
        <v>0.423830328380637</v>
      </c>
      <c r="T92" s="4" t="str">
        <f t="shared" si="107"/>
        <v>1+0,00541409568228884i</v>
      </c>
      <c r="U92" s="4">
        <f t="shared" si="120"/>
        <v>1.00001465610863</v>
      </c>
      <c r="V92" s="4">
        <f t="shared" si="121"/>
        <v>0.00541404278311525</v>
      </c>
      <c r="W92" t="str">
        <f t="shared" si="108"/>
        <v>1-0,00755314687819313i</v>
      </c>
      <c r="X92" s="4">
        <f t="shared" si="122"/>
        <v>1.00002852460706</v>
      </c>
      <c r="Y92" s="4">
        <f t="shared" si="123"/>
        <v>-0.00755300324736322</v>
      </c>
      <c r="Z92" t="str">
        <f t="shared" si="109"/>
        <v>0,999999975347333+0,00201534694545842i</v>
      </c>
      <c r="AA92" s="4">
        <f t="shared" si="124"/>
        <v>1.00000200615698</v>
      </c>
      <c r="AB92" s="4">
        <f t="shared" si="125"/>
        <v>0.00201534426662184</v>
      </c>
      <c r="AC92" s="67" t="str">
        <f t="shared" si="126"/>
        <v>49,7603453575019-22,6998737424842i</v>
      </c>
      <c r="AD92" s="68">
        <f t="shared" si="127"/>
        <v>34.7587103951779</v>
      </c>
      <c r="AE92" s="31">
        <f t="shared" si="128"/>
        <v>-24.5217131737443</v>
      </c>
      <c r="AF92" s="32" t="str">
        <f t="shared" si="129"/>
        <v>326,048966736478</v>
      </c>
      <c r="AG92" s="32" t="str">
        <f t="shared" si="110"/>
        <v>1+0,290040840122616i</v>
      </c>
      <c r="AH92" s="32">
        <f t="shared" si="130"/>
        <v>1.04121260506154</v>
      </c>
      <c r="AI92" s="32">
        <f t="shared" si="131"/>
        <v>0.282295093484516</v>
      </c>
      <c r="AJ92" s="32" t="str">
        <f t="shared" si="111"/>
        <v>1+0,00541409568228884i</v>
      </c>
      <c r="AK92" s="32">
        <f t="shared" si="132"/>
        <v>1.00001465610863</v>
      </c>
      <c r="AL92" s="32">
        <f t="shared" si="133"/>
        <v>0.00541404278311525</v>
      </c>
      <c r="AM92" s="32" t="str">
        <f t="shared" si="112"/>
        <v>1-0,000893514261479195i</v>
      </c>
      <c r="AN92" s="32">
        <f t="shared" si="134"/>
        <v>1.00000039918379</v>
      </c>
      <c r="AO92" s="32">
        <f t="shared" si="135"/>
        <v>-0.00089351402369499</v>
      </c>
      <c r="AP92" s="30" t="str">
        <f t="shared" si="136"/>
        <v>301,144645679807-85,8703151300957i</v>
      </c>
      <c r="AQ92" s="32">
        <f t="shared" si="137"/>
        <v>49.9149989906787</v>
      </c>
      <c r="AR92" s="31">
        <f t="shared" si="138"/>
        <v>-15.9153102148315</v>
      </c>
      <c r="AS92" t="str">
        <f t="shared" si="113"/>
        <v>-0,000100699300699301</v>
      </c>
      <c r="AT92" t="str">
        <f t="shared" si="114"/>
        <v>0,0000775859247327999i</v>
      </c>
      <c r="AU92">
        <f t="shared" si="139"/>
        <v>7.75859247327999e-5</v>
      </c>
      <c r="AV92">
        <f t="shared" si="140"/>
        <v>1.5707963267949</v>
      </c>
      <c r="AW92" t="str">
        <f t="shared" si="115"/>
        <v>1+0,00397225703963466i</v>
      </c>
      <c r="AX92">
        <f t="shared" si="141"/>
        <v>1.00000788938187</v>
      </c>
      <c r="AY92">
        <f t="shared" si="142"/>
        <v>0.00397223614731492</v>
      </c>
      <c r="AZ92" t="str">
        <f t="shared" si="116"/>
        <v>1+0,189907692937427i</v>
      </c>
      <c r="BA92">
        <f t="shared" si="143"/>
        <v>1.01787274835159</v>
      </c>
      <c r="BB92">
        <f t="shared" si="144"/>
        <v>0.187672854123996</v>
      </c>
      <c r="BC92" s="30" t="str">
        <f t="shared" si="145"/>
        <v>-0,241323062183551+1,29886541533267i</v>
      </c>
      <c r="BD92" s="32">
        <f t="shared" si="146"/>
        <v>2.4186714929083</v>
      </c>
      <c r="BE92" s="31">
        <f t="shared" si="147"/>
        <v>100.525270104009</v>
      </c>
      <c r="BF92" s="30" t="str">
        <f t="shared" si="148"/>
        <v>17,4757620195475+70,1099946825851i</v>
      </c>
      <c r="BG92" s="68">
        <f t="shared" si="149"/>
        <v>37.1773818880862</v>
      </c>
      <c r="BH92" s="31">
        <f t="shared" si="150"/>
        <v>76.0035569302646</v>
      </c>
      <c r="BI92" s="30" t="str">
        <f t="shared" si="103"/>
        <v>38,8608344705675+411,868852683973i</v>
      </c>
      <c r="BJ92" s="68">
        <f t="shared" si="151"/>
        <v>52.333670483587</v>
      </c>
      <c r="BK92" s="31">
        <f t="shared" si="104"/>
        <v>84.6099598891774</v>
      </c>
      <c r="BL92" s="32">
        <f t="shared" si="152"/>
        <v>37.1773818880862</v>
      </c>
      <c r="BM92" s="31">
        <f t="shared" si="153"/>
        <v>76.0035569302646</v>
      </c>
      <c r="BO92">
        <f t="shared" si="154"/>
        <v>0</v>
      </c>
      <c r="BP92">
        <f t="shared" si="155"/>
        <v>0</v>
      </c>
    </row>
    <row r="93" spans="14:68">
      <c r="N93" s="7">
        <v>75</v>
      </c>
      <c r="O93" s="18">
        <f t="shared" si="117"/>
        <v>56.2341325190349</v>
      </c>
      <c r="P93" s="86" t="str">
        <f t="shared" si="105"/>
        <v>60</v>
      </c>
      <c r="Q93" s="4" t="str">
        <f t="shared" si="106"/>
        <v>1+0,461683847601971i</v>
      </c>
      <c r="R93" s="4">
        <f t="shared" si="118"/>
        <v>1.10143178415032</v>
      </c>
      <c r="S93" s="4">
        <f t="shared" si="119"/>
        <v>0.432527623792602</v>
      </c>
      <c r="T93" s="4" t="str">
        <f t="shared" si="107"/>
        <v>1+0,00554020617122365i</v>
      </c>
      <c r="U93" s="4">
        <f t="shared" si="120"/>
        <v>1.00001534682445</v>
      </c>
      <c r="V93" s="4">
        <f t="shared" si="121"/>
        <v>0.0055401494887849</v>
      </c>
      <c r="W93" t="str">
        <f t="shared" si="108"/>
        <v>1-0,00772908227012228i</v>
      </c>
      <c r="X93" s="4">
        <f t="shared" si="122"/>
        <v>1.00002986891029</v>
      </c>
      <c r="Y93" s="4">
        <f t="shared" si="123"/>
        <v>-0.00772892836716347</v>
      </c>
      <c r="Z93" t="str">
        <f t="shared" si="109"/>
        <v>0,999999974185488+0,00206229040630202i</v>
      </c>
      <c r="AA93" s="4">
        <f t="shared" si="124"/>
        <v>1.00000210070414</v>
      </c>
      <c r="AB93" s="4">
        <f t="shared" si="125"/>
        <v>0.00206228753587723</v>
      </c>
      <c r="AC93" s="67" t="str">
        <f t="shared" si="126"/>
        <v>49,3625550114583-23,044968538928i</v>
      </c>
      <c r="AD93" s="68">
        <f t="shared" si="127"/>
        <v>34.7242473989016</v>
      </c>
      <c r="AE93" s="31">
        <f t="shared" si="128"/>
        <v>-25.025575530105</v>
      </c>
      <c r="AF93" s="32" t="str">
        <f t="shared" si="129"/>
        <v>326,048966736478</v>
      </c>
      <c r="AG93" s="32" t="str">
        <f t="shared" si="110"/>
        <v>1+0,296796759172696i</v>
      </c>
      <c r="AH93" s="32">
        <f t="shared" si="130"/>
        <v>1.04311471864576</v>
      </c>
      <c r="AI93" s="32">
        <f t="shared" si="131"/>
        <v>0.288515456740566</v>
      </c>
      <c r="AJ93" s="32" t="str">
        <f t="shared" si="111"/>
        <v>1+0,00554020617122365i</v>
      </c>
      <c r="AK93" s="32">
        <f t="shared" si="132"/>
        <v>1.00001534682445</v>
      </c>
      <c r="AL93" s="32">
        <f t="shared" si="133"/>
        <v>0.0055401494887849</v>
      </c>
      <c r="AM93" s="32" t="str">
        <f t="shared" si="112"/>
        <v>1-0,000914326882274573i</v>
      </c>
      <c r="AN93" s="32">
        <f t="shared" si="134"/>
        <v>1.00000041799674</v>
      </c>
      <c r="AO93" s="32">
        <f t="shared" si="135"/>
        <v>-0.000914326627484212</v>
      </c>
      <c r="AP93" s="30" t="str">
        <f t="shared" si="136"/>
        <v>300,065960729275-87,5503415200808i</v>
      </c>
      <c r="AQ93" s="32">
        <f t="shared" si="137"/>
        <v>49.8991520261205</v>
      </c>
      <c r="AR93" s="31">
        <f t="shared" si="138"/>
        <v>-16.265677868796</v>
      </c>
      <c r="AS93" t="str">
        <f t="shared" si="113"/>
        <v>-0,000100699300699301</v>
      </c>
      <c r="AT93" t="str">
        <f t="shared" si="114"/>
        <v>0,000079393133078696i</v>
      </c>
      <c r="AU93">
        <f t="shared" si="139"/>
        <v>7.9393133078696e-5</v>
      </c>
      <c r="AV93">
        <f t="shared" si="140"/>
        <v>1.5707963267949</v>
      </c>
      <c r="AW93" t="str">
        <f t="shared" si="115"/>
        <v>1+0,00406478279219604i</v>
      </c>
      <c r="AX93">
        <f t="shared" si="141"/>
        <v>1.00000826119545</v>
      </c>
      <c r="AY93">
        <f t="shared" si="142"/>
        <v>0.00406476040568209</v>
      </c>
      <c r="AZ93" t="str">
        <f t="shared" si="116"/>
        <v>1+0,194331211363074i</v>
      </c>
      <c r="BA93">
        <f t="shared" si="143"/>
        <v>1.01870732779824</v>
      </c>
      <c r="BB93">
        <f t="shared" si="144"/>
        <v>0.191938907065039</v>
      </c>
      <c r="BC93" s="30" t="str">
        <f t="shared" si="145"/>
        <v>-0,241322882730685+1,26934377708081i</v>
      </c>
      <c r="BD93" s="32">
        <f t="shared" si="146"/>
        <v>2.22578712453514</v>
      </c>
      <c r="BE93" s="31">
        <f t="shared" si="147"/>
        <v>100.764395683203</v>
      </c>
      <c r="BF93" s="30" t="str">
        <f t="shared" si="148"/>
        <v>17,3396733335942+68,2193302648558i</v>
      </c>
      <c r="BG93" s="68">
        <f t="shared" si="149"/>
        <v>36.9500345234368</v>
      </c>
      <c r="BH93" s="31">
        <f t="shared" si="150"/>
        <v>75.7388201530981</v>
      </c>
      <c r="BI93" s="30" t="str">
        <f t="shared" si="103"/>
        <v>38,7186985372731+402,014760765162i</v>
      </c>
      <c r="BJ93" s="68">
        <f t="shared" si="151"/>
        <v>52.1249391506556</v>
      </c>
      <c r="BK93" s="31">
        <f t="shared" si="104"/>
        <v>84.4987178144071</v>
      </c>
      <c r="BL93" s="32">
        <f t="shared" si="152"/>
        <v>36.9500345234368</v>
      </c>
      <c r="BM93" s="31">
        <f t="shared" si="153"/>
        <v>75.7388201530981</v>
      </c>
      <c r="BO93">
        <f t="shared" si="154"/>
        <v>0</v>
      </c>
      <c r="BP93">
        <f t="shared" si="155"/>
        <v>0</v>
      </c>
    </row>
    <row r="94" spans="14:68">
      <c r="N94" s="7">
        <v>76</v>
      </c>
      <c r="O94" s="18">
        <f t="shared" si="117"/>
        <v>57.5439937337157</v>
      </c>
      <c r="P94" s="86" t="str">
        <f t="shared" si="105"/>
        <v>60</v>
      </c>
      <c r="Q94" s="4" t="str">
        <f t="shared" si="106"/>
        <v>1+0,472437845900313i</v>
      </c>
      <c r="R94" s="4">
        <f t="shared" si="118"/>
        <v>1.10598260304533</v>
      </c>
      <c r="S94" s="4">
        <f t="shared" si="119"/>
        <v>0.441355773802954</v>
      </c>
      <c r="T94" s="4" t="str">
        <f t="shared" si="107"/>
        <v>1+0,00566925415080376i</v>
      </c>
      <c r="U94" s="4">
        <f t="shared" si="120"/>
        <v>1.00001607009219</v>
      </c>
      <c r="V94" s="4">
        <f t="shared" si="121"/>
        <v>0.00566919341452909</v>
      </c>
      <c r="W94" t="str">
        <f t="shared" si="108"/>
        <v>1-0,00790911572377756i</v>
      </c>
      <c r="X94" s="4">
        <f t="shared" si="122"/>
        <v>1.00003127656665</v>
      </c>
      <c r="Y94" s="4">
        <f t="shared" si="123"/>
        <v>-0.00790895081406462</v>
      </c>
      <c r="Z94" t="str">
        <f t="shared" si="109"/>
        <v>0,999999972968888+0,00211032732081669i</v>
      </c>
      <c r="AA94" s="4">
        <f t="shared" si="124"/>
        <v>1.00000219970717</v>
      </c>
      <c r="AB94" s="4">
        <f t="shared" si="125"/>
        <v>0.00211032424510148</v>
      </c>
      <c r="AC94" s="67" t="str">
        <f t="shared" si="126"/>
        <v>48,9527050677984-23,3881263923715i</v>
      </c>
      <c r="AD94" s="68">
        <f t="shared" si="127"/>
        <v>34.6884512311684</v>
      </c>
      <c r="AE94" s="31">
        <f t="shared" si="128"/>
        <v>-25.5370644214148</v>
      </c>
      <c r="AF94" s="32" t="str">
        <f t="shared" si="129"/>
        <v>326,048966736478</v>
      </c>
      <c r="AG94" s="32" t="str">
        <f t="shared" si="110"/>
        <v>1+0,303710043793058i</v>
      </c>
      <c r="AH94" s="32">
        <f t="shared" si="130"/>
        <v>1.04510276561723</v>
      </c>
      <c r="AI94" s="32">
        <f t="shared" si="131"/>
        <v>0.294857019248766</v>
      </c>
      <c r="AJ94" s="32" t="str">
        <f t="shared" si="111"/>
        <v>1+0,00566925415080376i</v>
      </c>
      <c r="AK94" s="32">
        <f t="shared" si="132"/>
        <v>1.00001607009219</v>
      </c>
      <c r="AL94" s="32">
        <f t="shared" si="133"/>
        <v>0.00566919341452909</v>
      </c>
      <c r="AM94" s="32" t="str">
        <f t="shared" si="112"/>
        <v>1-0,000935624291285482i</v>
      </c>
      <c r="AN94" s="32">
        <f t="shared" si="134"/>
        <v>1.00000043769631</v>
      </c>
      <c r="AO94" s="32">
        <f t="shared" si="135"/>
        <v>-0.000935624018272698</v>
      </c>
      <c r="AP94" s="30" t="str">
        <f t="shared" si="136"/>
        <v>298,944832056301-89,2491529109188i</v>
      </c>
      <c r="AQ94" s="32">
        <f t="shared" si="137"/>
        <v>49.8826200086853</v>
      </c>
      <c r="AR94" s="31">
        <f t="shared" si="138"/>
        <v>-16.6228492143242</v>
      </c>
      <c r="AS94" t="str">
        <f t="shared" si="113"/>
        <v>-0,000100699300699301</v>
      </c>
      <c r="AT94" t="str">
        <f t="shared" si="114"/>
        <v>0,000081242436714643i</v>
      </c>
      <c r="AU94">
        <f t="shared" si="139"/>
        <v>8.1242436714643e-5</v>
      </c>
      <c r="AV94">
        <f t="shared" si="140"/>
        <v>1.5707963267949</v>
      </c>
      <c r="AW94" t="str">
        <f t="shared" si="115"/>
        <v>1+0,00415946374639761i</v>
      </c>
      <c r="AX94">
        <f t="shared" si="141"/>
        <v>1.00000865053191</v>
      </c>
      <c r="AY94">
        <f t="shared" si="142"/>
        <v>0.00415943975882694</v>
      </c>
      <c r="AZ94" t="str">
        <f t="shared" si="116"/>
        <v>1+0,198857766769264i</v>
      </c>
      <c r="BA94">
        <f t="shared" si="143"/>
        <v>1.019580507564</v>
      </c>
      <c r="BB94">
        <f t="shared" si="144"/>
        <v>0.196297017802283</v>
      </c>
      <c r="BC94" s="30" t="str">
        <f t="shared" si="145"/>
        <v>-0,241322694820752+1,24049516163254i</v>
      </c>
      <c r="BD94" s="32">
        <f t="shared" si="146"/>
        <v>2.03322561969555</v>
      </c>
      <c r="BE94" s="31">
        <f t="shared" si="147"/>
        <v>101.008672307756</v>
      </c>
      <c r="BF94" s="30" t="str">
        <f t="shared" si="148"/>
        <v>17,1994589236606+66,3696794732441i</v>
      </c>
      <c r="BG94" s="68">
        <f t="shared" si="149"/>
        <v>36.721676850864</v>
      </c>
      <c r="BH94" s="31">
        <f t="shared" si="150"/>
        <v>75.4716078863407</v>
      </c>
      <c r="BI94" s="30" t="str">
        <f t="shared" si="103"/>
        <v>38,5709698912338+392,377463851826i</v>
      </c>
      <c r="BJ94" s="68">
        <f t="shared" si="151"/>
        <v>51.9158456283808</v>
      </c>
      <c r="BK94" s="31">
        <f t="shared" si="104"/>
        <v>84.3858230934313</v>
      </c>
      <c r="BL94" s="32">
        <f t="shared" si="152"/>
        <v>36.721676850864</v>
      </c>
      <c r="BM94" s="31">
        <f t="shared" si="153"/>
        <v>75.4716078863407</v>
      </c>
      <c r="BO94">
        <f t="shared" si="154"/>
        <v>0</v>
      </c>
      <c r="BP94">
        <f t="shared" si="155"/>
        <v>0</v>
      </c>
    </row>
    <row r="95" spans="14:68">
      <c r="N95" s="7">
        <v>77</v>
      </c>
      <c r="O95" s="18">
        <f t="shared" si="117"/>
        <v>58.8843655355589</v>
      </c>
      <c r="P95" s="86" t="str">
        <f t="shared" si="105"/>
        <v>60</v>
      </c>
      <c r="Q95" s="4" t="str">
        <f t="shared" si="106"/>
        <v>1+0,483442336998005i</v>
      </c>
      <c r="R95" s="4">
        <f t="shared" si="118"/>
        <v>1.11072791141759</v>
      </c>
      <c r="S95" s="4">
        <f t="shared" si="119"/>
        <v>0.450313953935409</v>
      </c>
      <c r="T95" s="4" t="str">
        <f t="shared" si="107"/>
        <v>1+0,00580130804397606i</v>
      </c>
      <c r="U95" s="4">
        <f t="shared" si="120"/>
        <v>1.00001682744593</v>
      </c>
      <c r="V95" s="4">
        <f t="shared" si="121"/>
        <v>0.00580124296394437</v>
      </c>
      <c r="W95" t="str">
        <f t="shared" si="108"/>
        <v>1-0,0080933426952791i</v>
      </c>
      <c r="X95" s="4">
        <f t="shared" si="122"/>
        <v>1.00003275056169</v>
      </c>
      <c r="Y95" s="4">
        <f t="shared" si="123"/>
        <v>-0.0080931659916506</v>
      </c>
      <c r="Z95" t="str">
        <f t="shared" si="109"/>
        <v>0,999999971694951+0,00215948315881033i</v>
      </c>
      <c r="AA95" s="4">
        <f t="shared" si="124"/>
        <v>1.00000230337606</v>
      </c>
      <c r="AB95" s="4">
        <f t="shared" si="125"/>
        <v>0.00215947986312251</v>
      </c>
      <c r="AC95" s="67" t="str">
        <f t="shared" si="126"/>
        <v>48,5306931396995-23,7288876253773i</v>
      </c>
      <c r="AD95" s="68">
        <f t="shared" si="127"/>
        <v>34.6512819167269</v>
      </c>
      <c r="AE95" s="31">
        <f t="shared" si="128"/>
        <v>-26.0561356149043</v>
      </c>
      <c r="AF95" s="32" t="str">
        <f t="shared" si="129"/>
        <v>326,048966736478</v>
      </c>
      <c r="AG95" s="32" t="str">
        <f t="shared" si="110"/>
        <v>1+0,310784359498718i</v>
      </c>
      <c r="AH95" s="32">
        <f t="shared" si="130"/>
        <v>1.04718046109972</v>
      </c>
      <c r="AI95" s="32">
        <f t="shared" si="131"/>
        <v>0.301321102399374</v>
      </c>
      <c r="AJ95" s="32" t="str">
        <f t="shared" si="111"/>
        <v>1+0,00580130804397606i</v>
      </c>
      <c r="AK95" s="32">
        <f t="shared" si="132"/>
        <v>1.00001682744593</v>
      </c>
      <c r="AL95" s="32">
        <f t="shared" si="133"/>
        <v>0.00580124296394437</v>
      </c>
      <c r="AM95" s="32" t="str">
        <f t="shared" si="112"/>
        <v>1-0,00095741778068008i</v>
      </c>
      <c r="AN95" s="32">
        <f t="shared" si="134"/>
        <v>1.0000004583243</v>
      </c>
      <c r="AO95" s="32">
        <f t="shared" si="135"/>
        <v>-0.000957417488141619</v>
      </c>
      <c r="AP95" s="30" t="str">
        <f t="shared" si="136"/>
        <v>297,779964509044-90,9660101261617i</v>
      </c>
      <c r="AQ95" s="32">
        <f t="shared" si="137"/>
        <v>49.8653761000082</v>
      </c>
      <c r="AR95" s="31">
        <f t="shared" si="138"/>
        <v>-16.986896689252</v>
      </c>
      <c r="AS95" t="str">
        <f t="shared" si="113"/>
        <v>-0,000100699300699301</v>
      </c>
      <c r="AT95" t="str">
        <f t="shared" si="114"/>
        <v>0,0000831348161659069i</v>
      </c>
      <c r="AU95">
        <f t="shared" si="139"/>
        <v>8.31348161659069e-5</v>
      </c>
      <c r="AV95">
        <f t="shared" si="140"/>
        <v>1.5707963267949</v>
      </c>
      <c r="AW95" t="str">
        <f t="shared" si="115"/>
        <v>1+0,00425635010333452i</v>
      </c>
      <c r="AX95">
        <f t="shared" si="141"/>
        <v>1.00000905821708</v>
      </c>
      <c r="AY95">
        <f t="shared" si="142"/>
        <v>0.00425632440020204</v>
      </c>
      <c r="AZ95" t="str">
        <f t="shared" si="116"/>
        <v>1+0,203489759195589i</v>
      </c>
      <c r="BA95">
        <f t="shared" si="143"/>
        <v>1.02049403824691</v>
      </c>
      <c r="BB95">
        <f t="shared" si="144"/>
        <v>0.200748834552949</v>
      </c>
      <c r="BC95" s="30" t="str">
        <f t="shared" si="145"/>
        <v>-0,241322498055211+1,21230427306518i</v>
      </c>
      <c r="BD95" s="32">
        <f t="shared" si="146"/>
        <v>1.84100103673502</v>
      </c>
      <c r="BE95" s="31">
        <f t="shared" si="147"/>
        <v>101.258191537684</v>
      </c>
      <c r="BF95" s="30" t="str">
        <f t="shared" si="148"/>
        <v>17,0550837625052+64,5602811059002i</v>
      </c>
      <c r="BG95" s="68">
        <f t="shared" si="149"/>
        <v>36.492282953462</v>
      </c>
      <c r="BH95" s="31">
        <f t="shared" si="150"/>
        <v>75.2020559227796</v>
      </c>
      <c r="BI95" s="30" t="str">
        <f t="shared" si="103"/>
        <v>38,4174778735217+382,952068209273i</v>
      </c>
      <c r="BJ95" s="68">
        <f t="shared" si="151"/>
        <v>51.7063771367433</v>
      </c>
      <c r="BK95" s="31">
        <f t="shared" si="104"/>
        <v>84.2712948484319</v>
      </c>
      <c r="BL95" s="32">
        <f t="shared" si="152"/>
        <v>36.492282953462</v>
      </c>
      <c r="BM95" s="31">
        <f t="shared" si="153"/>
        <v>75.2020559227796</v>
      </c>
      <c r="BO95">
        <f t="shared" si="154"/>
        <v>0</v>
      </c>
      <c r="BP95">
        <f t="shared" si="155"/>
        <v>0</v>
      </c>
    </row>
    <row r="96" spans="14:68">
      <c r="N96" s="7">
        <v>78</v>
      </c>
      <c r="O96" s="18">
        <f t="shared" si="117"/>
        <v>60.2559586074358</v>
      </c>
      <c r="P96" s="86" t="str">
        <f t="shared" si="105"/>
        <v>60</v>
      </c>
      <c r="Q96" s="4" t="str">
        <f t="shared" si="106"/>
        <v>1+0,494703155621889i</v>
      </c>
      <c r="R96" s="4">
        <f t="shared" si="118"/>
        <v>1.11567522701826</v>
      </c>
      <c r="S96" s="4">
        <f t="shared" si="119"/>
        <v>0.459401161860979</v>
      </c>
      <c r="T96" s="4" t="str">
        <f t="shared" si="107"/>
        <v>1+0,00593643786746267i</v>
      </c>
      <c r="U96" s="4">
        <f t="shared" si="120"/>
        <v>1.00001762049204</v>
      </c>
      <c r="V96" s="4">
        <f t="shared" si="121"/>
        <v>0.00593636813301869</v>
      </c>
      <c r="W96" t="str">
        <f t="shared" si="108"/>
        <v>1-0,00828186086420573i</v>
      </c>
      <c r="X96" s="4">
        <f t="shared" si="122"/>
        <v>1.00003429402165</v>
      </c>
      <c r="Y96" s="4">
        <f t="shared" si="123"/>
        <v>-0.00828167152320717</v>
      </c>
      <c r="Z96" t="str">
        <f t="shared" si="109"/>
        <v>0,999999970360975+0,00220978398335892i</v>
      </c>
      <c r="AA96" s="4">
        <f t="shared" si="124"/>
        <v>1.00000241193069</v>
      </c>
      <c r="AB96" s="4">
        <f t="shared" si="125"/>
        <v>0.00220978045196626</v>
      </c>
      <c r="AC96" s="67" t="str">
        <f t="shared" si="126"/>
        <v>48,0964372213218-24,0667768823542i</v>
      </c>
      <c r="AD96" s="68">
        <f t="shared" si="127"/>
        <v>34.6126991771129</v>
      </c>
      <c r="AE96" s="31">
        <f t="shared" si="128"/>
        <v>-26.5827347575242</v>
      </c>
      <c r="AF96" s="32" t="str">
        <f t="shared" si="129"/>
        <v>326,048966736478</v>
      </c>
      <c r="AG96" s="32" t="str">
        <f t="shared" si="110"/>
        <v>1+0,3180234571855i</v>
      </c>
      <c r="AH96" s="32">
        <f t="shared" si="130"/>
        <v>1.04935166618261</v>
      </c>
      <c r="AI96" s="32">
        <f t="shared" si="131"/>
        <v>0.307908971964027</v>
      </c>
      <c r="AJ96" s="32" t="str">
        <f t="shared" si="111"/>
        <v>1+0,00593643786746267i</v>
      </c>
      <c r="AK96" s="32">
        <f t="shared" si="132"/>
        <v>1.00001762049204</v>
      </c>
      <c r="AL96" s="32">
        <f t="shared" si="133"/>
        <v>0.00593636813301869</v>
      </c>
      <c r="AM96" s="32" t="str">
        <f t="shared" si="112"/>
        <v>1-0,000979718905654918i</v>
      </c>
      <c r="AN96" s="32">
        <f t="shared" si="134"/>
        <v>1.00000047992445</v>
      </c>
      <c r="AO96" s="32">
        <f t="shared" si="135"/>
        <v>-0.000979718592194317</v>
      </c>
      <c r="AP96" s="30" t="str">
        <f t="shared" si="136"/>
        <v>296,570056289062-92,7001015028454i</v>
      </c>
      <c r="AQ96" s="32">
        <f t="shared" si="137"/>
        <v>49.8473926530597</v>
      </c>
      <c r="AR96" s="31">
        <f t="shared" si="138"/>
        <v>-17.3578894685361</v>
      </c>
      <c r="AS96" t="str">
        <f t="shared" si="113"/>
        <v>-0,000100699300699301</v>
      </c>
      <c r="AT96" t="str">
        <f t="shared" si="114"/>
        <v>0,0000850712747971213i</v>
      </c>
      <c r="AU96">
        <f t="shared" si="139"/>
        <v>8.50712747971213e-5</v>
      </c>
      <c r="AV96">
        <f t="shared" si="140"/>
        <v>1.5707963267949</v>
      </c>
      <c r="AW96" t="str">
        <f t="shared" si="115"/>
        <v>1+0,00435549323343568i</v>
      </c>
      <c r="AX96">
        <f t="shared" si="141"/>
        <v>1.00000948511567</v>
      </c>
      <c r="AY96">
        <f t="shared" si="142"/>
        <v>0.00435546569204713</v>
      </c>
      <c r="AZ96" t="str">
        <f t="shared" si="116"/>
        <v>1+0,208229644585744i</v>
      </c>
      <c r="BA96">
        <f t="shared" si="143"/>
        <v>1.02144974662697</v>
      </c>
      <c r="BB96">
        <f t="shared" si="144"/>
        <v>0.205296011560922</v>
      </c>
      <c r="BC96" s="30" t="str">
        <f t="shared" si="145"/>
        <v>-0,241322292016738+1,18475616419117i</v>
      </c>
      <c r="BD96" s="32">
        <f t="shared" si="146"/>
        <v>1.64912799151249</v>
      </c>
      <c r="BE96" s="31">
        <f t="shared" si="147"/>
        <v>101.513045211341</v>
      </c>
      <c r="BF96" s="30" t="str">
        <f t="shared" si="148"/>
        <v>16,9065197954942+62,7904002322998i</v>
      </c>
      <c r="BG96" s="68">
        <f t="shared" si="149"/>
        <v>36.2618271686254</v>
      </c>
      <c r="BH96" s="31">
        <f t="shared" si="150"/>
        <v>74.9303104538172</v>
      </c>
      <c r="BI96" s="30" t="str">
        <f t="shared" si="103"/>
        <v>38,2580509494338+373,733803267839i</v>
      </c>
      <c r="BJ96" s="68">
        <f t="shared" si="151"/>
        <v>51.4965206445722</v>
      </c>
      <c r="BK96" s="31">
        <f t="shared" si="104"/>
        <v>84.1551557428054</v>
      </c>
      <c r="BL96" s="32">
        <f t="shared" si="152"/>
        <v>36.2618271686254</v>
      </c>
      <c r="BM96" s="31">
        <f t="shared" si="153"/>
        <v>74.9303104538172</v>
      </c>
      <c r="BO96">
        <f t="shared" si="154"/>
        <v>0</v>
      </c>
      <c r="BP96">
        <f t="shared" si="155"/>
        <v>0</v>
      </c>
    </row>
    <row r="97" spans="14:68">
      <c r="N97" s="7">
        <v>79</v>
      </c>
      <c r="O97" s="18">
        <f t="shared" si="117"/>
        <v>61.6595001861483</v>
      </c>
      <c r="P97" s="86" t="str">
        <f t="shared" si="105"/>
        <v>60</v>
      </c>
      <c r="Q97" s="4" t="str">
        <f t="shared" si="106"/>
        <v>1+0,506226272407055i</v>
      </c>
      <c r="R97" s="4">
        <f t="shared" si="118"/>
        <v>1.12083229739116</v>
      </c>
      <c r="S97" s="4">
        <f t="shared" si="119"/>
        <v>0.46861621158829</v>
      </c>
      <c r="T97" s="4" t="str">
        <f t="shared" si="107"/>
        <v>1+0,00607471526888466i</v>
      </c>
      <c r="U97" s="4">
        <f t="shared" si="120"/>
        <v>1.00001845091258</v>
      </c>
      <c r="V97" s="4">
        <f t="shared" si="121"/>
        <v>0.00607464054715615</v>
      </c>
      <c r="W97" t="str">
        <f t="shared" si="108"/>
        <v>1-0,00847477018538596i</v>
      </c>
      <c r="X97" s="4">
        <f t="shared" si="122"/>
        <v>1.00003591022008</v>
      </c>
      <c r="Y97" s="4">
        <f t="shared" si="123"/>
        <v>-0.0084745673032442</v>
      </c>
      <c r="Z97" t="str">
        <f t="shared" si="109"/>
        <v>0,999999968964131+0,00226125646462544i</v>
      </c>
      <c r="AA97" s="4">
        <f t="shared" si="124"/>
        <v>1.00000252560134</v>
      </c>
      <c r="AB97" s="4">
        <f t="shared" si="125"/>
        <v>0.00226125268067055</v>
      </c>
      <c r="AC97" s="67" t="str">
        <f t="shared" si="126"/>
        <v>47,6498771878525-24,4013039599306i</v>
      </c>
      <c r="AD97" s="68">
        <f t="shared" si="127"/>
        <v>34.57266250054</v>
      </c>
      <c r="AE97" s="31">
        <f t="shared" si="128"/>
        <v>-27.116797044698</v>
      </c>
      <c r="AF97" s="32" t="str">
        <f t="shared" si="129"/>
        <v>326,048966736478</v>
      </c>
      <c r="AG97" s="32" t="str">
        <f t="shared" si="110"/>
        <v>1+0,325431175118821i</v>
      </c>
      <c r="AH97" s="32">
        <f t="shared" si="130"/>
        <v>1.05162039241316</v>
      </c>
      <c r="AI97" s="32">
        <f t="shared" si="131"/>
        <v>0.314621832791347</v>
      </c>
      <c r="AJ97" s="32" t="str">
        <f t="shared" si="111"/>
        <v>1+0,00607471526888466i</v>
      </c>
      <c r="AK97" s="32">
        <f t="shared" si="132"/>
        <v>1.00001845091258</v>
      </c>
      <c r="AL97" s="32">
        <f t="shared" si="133"/>
        <v>0.00607464054715615</v>
      </c>
      <c r="AM97" s="32" t="str">
        <f t="shared" si="112"/>
        <v>1-0,00100253949056165i</v>
      </c>
      <c r="AN97" s="32">
        <f t="shared" si="134"/>
        <v>1.00000050254259</v>
      </c>
      <c r="AO97" s="32">
        <f t="shared" si="135"/>
        <v>-0.00100253915468257</v>
      </c>
      <c r="AP97" s="30" t="str">
        <f t="shared" si="136"/>
        <v>295,31380219624-94,4505400059015i</v>
      </c>
      <c r="AQ97" s="32">
        <f t="shared" si="137"/>
        <v>49.8286412090296</v>
      </c>
      <c r="AR97" s="31">
        <f t="shared" si="138"/>
        <v>-17.7358931585637</v>
      </c>
      <c r="AS97" t="str">
        <f t="shared" si="113"/>
        <v>-0,000100699300699301</v>
      </c>
      <c r="AT97" t="str">
        <f t="shared" si="114"/>
        <v>0,0000870528393442846i</v>
      </c>
      <c r="AU97">
        <f t="shared" si="139"/>
        <v>8.70528393442846e-5</v>
      </c>
      <c r="AV97">
        <f t="shared" si="140"/>
        <v>1.5707963267949</v>
      </c>
      <c r="AW97" t="str">
        <f t="shared" si="115"/>
        <v>1+0,00445694570370098i</v>
      </c>
      <c r="AX97">
        <f t="shared" si="141"/>
        <v>1.00000993213318</v>
      </c>
      <c r="AY97">
        <f t="shared" si="142"/>
        <v>0.00445691619258729</v>
      </c>
      <c r="AZ97" t="str">
        <f t="shared" si="116"/>
        <v>1+0,213079936089704i</v>
      </c>
      <c r="BA97">
        <f t="shared" si="143"/>
        <v>1.02244953868834</v>
      </c>
      <c r="BB97">
        <f t="shared" si="144"/>
        <v>0.209940207276109</v>
      </c>
      <c r="BC97" s="30" t="str">
        <f t="shared" si="145"/>
        <v>-0,241322076268349+1,15783622863292i</v>
      </c>
      <c r="BD97" s="32">
        <f t="shared" si="146"/>
        <v>1.45762167447423</v>
      </c>
      <c r="BE97" s="31">
        <f t="shared" si="147"/>
        <v>101.773325339544</v>
      </c>
      <c r="BF97" s="30" t="str">
        <f t="shared" si="148"/>
        <v>16,7537464537872+61,0593274332705i</v>
      </c>
      <c r="BG97" s="68">
        <f t="shared" si="149"/>
        <v>36.0302841750143</v>
      </c>
      <c r="BH97" s="31">
        <f t="shared" si="150"/>
        <v>74.6565282948459</v>
      </c>
      <c r="BI97" s="30" t="str">
        <f t="shared" si="103"/>
        <v>38,0925171360786+364,718019417034i</v>
      </c>
      <c r="BJ97" s="68">
        <f t="shared" si="151"/>
        <v>51.2862628835039</v>
      </c>
      <c r="BK97" s="31">
        <f t="shared" si="104"/>
        <v>84.0374321809802</v>
      </c>
      <c r="BL97" s="32">
        <f t="shared" si="152"/>
        <v>36.0302841750143</v>
      </c>
      <c r="BM97" s="31">
        <f t="shared" si="153"/>
        <v>74.6565282948459</v>
      </c>
      <c r="BO97">
        <f t="shared" si="154"/>
        <v>0</v>
      </c>
      <c r="BP97">
        <f t="shared" si="155"/>
        <v>0</v>
      </c>
    </row>
    <row r="98" spans="14:68">
      <c r="N98" s="7">
        <v>80</v>
      </c>
      <c r="O98" s="18">
        <f t="shared" si="117"/>
        <v>63.0957344480194</v>
      </c>
      <c r="P98" s="86" t="str">
        <f t="shared" si="105"/>
        <v>60</v>
      </c>
      <c r="Q98" s="4" t="str">
        <f t="shared" si="106"/>
        <v>1+0,518017797062546i</v>
      </c>
      <c r="R98" s="4">
        <f t="shared" si="118"/>
        <v>1.12620710265632</v>
      </c>
      <c r="S98" s="4">
        <f t="shared" si="119"/>
        <v>0.477957727995926</v>
      </c>
      <c r="T98" s="4" t="str">
        <f t="shared" si="107"/>
        <v>1+0,00621621356475056i</v>
      </c>
      <c r="U98" s="4">
        <f t="shared" si="120"/>
        <v>1.0000193204689</v>
      </c>
      <c r="V98" s="4">
        <f t="shared" si="121"/>
        <v>0.00621613349905949</v>
      </c>
      <c r="W98" t="str">
        <f t="shared" si="108"/>
        <v>1-0,00867217294189531i</v>
      </c>
      <c r="X98" s="4">
        <f t="shared" si="122"/>
        <v>1.00003760258479</v>
      </c>
      <c r="Y98" s="4">
        <f t="shared" si="123"/>
        <v>-0.00867195555020521</v>
      </c>
      <c r="Z98" t="str">
        <f t="shared" si="109"/>
        <v>0,999999967501455+0,00231392789400076i</v>
      </c>
      <c r="AA98" s="4">
        <f t="shared" si="124"/>
        <v>1.00000264462911</v>
      </c>
      <c r="AB98" s="4">
        <f t="shared" si="125"/>
        <v>0.00231392383942062</v>
      </c>
      <c r="AC98" s="67" t="str">
        <f t="shared" si="126"/>
        <v>47,1909762801624-24,7319647759414i</v>
      </c>
      <c r="AD98" s="68">
        <f t="shared" si="127"/>
        <v>34.5311312167284</v>
      </c>
      <c r="AE98" s="31">
        <f t="shared" si="128"/>
        <v>-27.6582469087076</v>
      </c>
      <c r="AF98" s="32" t="str">
        <f t="shared" si="129"/>
        <v>326,048966736478</v>
      </c>
      <c r="AG98" s="32" t="str">
        <f t="shared" si="110"/>
        <v>1+0,33301144096878i</v>
      </c>
      <c r="AH98" s="32">
        <f t="shared" si="130"/>
        <v>1.05399080632428</v>
      </c>
      <c r="AI98" s="32">
        <f t="shared" si="131"/>
        <v>0.321460823297982</v>
      </c>
      <c r="AJ98" s="32" t="str">
        <f t="shared" si="111"/>
        <v>1+0,00621621356475056i</v>
      </c>
      <c r="AK98" s="32">
        <f t="shared" si="132"/>
        <v>1.0000193204689</v>
      </c>
      <c r="AL98" s="32">
        <f t="shared" si="133"/>
        <v>0.00621613349905949</v>
      </c>
      <c r="AM98" s="32" t="str">
        <f t="shared" si="112"/>
        <v>1-0,00102589163517645i</v>
      </c>
      <c r="AN98" s="32">
        <f t="shared" si="134"/>
        <v>1.00000052622669</v>
      </c>
      <c r="AO98" s="32">
        <f t="shared" si="135"/>
        <v>-0.00102589127527555</v>
      </c>
      <c r="AP98" s="30" t="str">
        <f t="shared" si="136"/>
        <v>294,009897176594-96,216360415693i</v>
      </c>
      <c r="AQ98" s="32">
        <f t="shared" si="137"/>
        <v>49.8090924963287</v>
      </c>
      <c r="AR98" s="31">
        <f t="shared" si="138"/>
        <v>-18.1209694797017</v>
      </c>
      <c r="AS98" t="str">
        <f t="shared" si="113"/>
        <v>-0,000100699300699301</v>
      </c>
      <c r="AT98" t="str">
        <f t="shared" si="114"/>
        <v>0,0000890805604591487i</v>
      </c>
      <c r="AU98">
        <f t="shared" si="139"/>
        <v>8.90805604591487e-5</v>
      </c>
      <c r="AV98">
        <f t="shared" si="140"/>
        <v>1.5707963267949</v>
      </c>
      <c r="AW98" t="str">
        <f t="shared" si="115"/>
        <v>1+0,00456076130557302i</v>
      </c>
      <c r="AX98">
        <f t="shared" si="141"/>
        <v>1.00001040021776</v>
      </c>
      <c r="AY98">
        <f t="shared" si="142"/>
        <v>0.00456072968386274</v>
      </c>
      <c r="AZ98" t="str">
        <f t="shared" si="116"/>
        <v>1+0,218043205396225i</v>
      </c>
      <c r="BA98">
        <f t="shared" si="143"/>
        <v>1.02349540273489</v>
      </c>
      <c r="BB98">
        <f t="shared" si="144"/>
        <v>0.214683082389979</v>
      </c>
      <c r="BC98" s="30" t="str">
        <f t="shared" si="145"/>
        <v>-0,241321850352466+1,1315301930782i</v>
      </c>
      <c r="BD98" s="32">
        <f t="shared" si="146"/>
        <v>1.26649786777114</v>
      </c>
      <c r="BE98" s="31">
        <f t="shared" si="147"/>
        <v>102.03912399142</v>
      </c>
      <c r="BF98" s="30" t="str">
        <f t="shared" si="148"/>
        <v>16,5967511622561+59,3663780044231i</v>
      </c>
      <c r="BG98" s="68">
        <f t="shared" si="149"/>
        <v>35.7976290844995</v>
      </c>
      <c r="BH98" s="31">
        <f t="shared" si="150"/>
        <v>74.3808770827122</v>
      </c>
      <c r="BI98" s="30" t="str">
        <f t="shared" si="103"/>
        <v>37,9207044698568+355,900185848828i</v>
      </c>
      <c r="BJ98" s="68">
        <f t="shared" si="151"/>
        <v>51.0755903640998</v>
      </c>
      <c r="BK98" s="31">
        <f t="shared" si="104"/>
        <v>83.9181545117182</v>
      </c>
      <c r="BL98" s="32">
        <f t="shared" si="152"/>
        <v>35.7976290844995</v>
      </c>
      <c r="BM98" s="31">
        <f t="shared" si="153"/>
        <v>74.3808770827122</v>
      </c>
      <c r="BO98">
        <f t="shared" si="154"/>
        <v>0</v>
      </c>
      <c r="BP98">
        <f t="shared" si="155"/>
        <v>0</v>
      </c>
    </row>
    <row r="99" spans="14:68">
      <c r="N99" s="7">
        <v>81</v>
      </c>
      <c r="O99" s="18">
        <f t="shared" si="117"/>
        <v>64.5654229034656</v>
      </c>
      <c r="P99" s="86" t="str">
        <f t="shared" si="105"/>
        <v>60</v>
      </c>
      <c r="Q99" s="4" t="str">
        <f t="shared" si="106"/>
        <v>1+0,530083981610817i</v>
      </c>
      <c r="R99" s="4">
        <f t="shared" si="118"/>
        <v>1.13180785805735</v>
      </c>
      <c r="S99" s="4">
        <f t="shared" si="119"/>
        <v>0.487424141760249</v>
      </c>
      <c r="T99" s="4" t="str">
        <f t="shared" si="107"/>
        <v>1+0,00636100777932982i</v>
      </c>
      <c r="U99" s="4">
        <f t="shared" si="120"/>
        <v>1.00002023100534</v>
      </c>
      <c r="V99" s="4">
        <f t="shared" si="121"/>
        <v>0.00636092198748989</v>
      </c>
      <c r="W99" t="str">
        <f t="shared" si="108"/>
        <v>1-0,00887417379928824i</v>
      </c>
      <c r="X99" s="4">
        <f t="shared" si="122"/>
        <v>1.00003937470513</v>
      </c>
      <c r="Y99" s="4">
        <f t="shared" si="123"/>
        <v>-0.00887394086039084</v>
      </c>
      <c r="Z99" t="str">
        <f t="shared" si="109"/>
        <v>0,999999965969846+0,00236782619857394i</v>
      </c>
      <c r="AA99" s="4">
        <f t="shared" si="124"/>
        <v>1.00000276926647</v>
      </c>
      <c r="AB99" s="4">
        <f t="shared" si="125"/>
        <v>0.0023678218540137</v>
      </c>
      <c r="AC99" s="67" t="str">
        <f t="shared" si="126"/>
        <v>46,7197225613067-25,0582424806219i</v>
      </c>
      <c r="AD99" s="68">
        <f t="shared" si="127"/>
        <v>34.4880645765977</v>
      </c>
      <c r="AE99" s="31">
        <f t="shared" si="128"/>
        <v>-28.2069977297763</v>
      </c>
      <c r="AF99" s="32" t="str">
        <f t="shared" si="129"/>
        <v>326,048966736478</v>
      </c>
      <c r="AG99" s="32" t="str">
        <f t="shared" si="110"/>
        <v>1+0,340768273892669i</v>
      </c>
      <c r="AH99" s="32">
        <f t="shared" si="130"/>
        <v>1.05646723398873</v>
      </c>
      <c r="AI99" s="32">
        <f t="shared" si="131"/>
        <v>0.328427009761246</v>
      </c>
      <c r="AJ99" s="32" t="str">
        <f t="shared" si="111"/>
        <v>1+0,00636100777932982i</v>
      </c>
      <c r="AK99" s="32">
        <f t="shared" si="132"/>
        <v>1.00002023100534</v>
      </c>
      <c r="AL99" s="32">
        <f t="shared" si="133"/>
        <v>0.00636092198748989</v>
      </c>
      <c r="AM99" s="32" t="str">
        <f t="shared" si="112"/>
        <v>1-0,0010497877211155i</v>
      </c>
      <c r="AN99" s="32">
        <f t="shared" si="134"/>
        <v>1.00000055102698</v>
      </c>
      <c r="AO99" s="32">
        <f t="shared" si="135"/>
        <v>-0.00104978733547475</v>
      </c>
      <c r="AP99" s="30" t="str">
        <f t="shared" si="136"/>
        <v>292,657040182384-97,9965166133977i</v>
      </c>
      <c r="AQ99" s="32">
        <f t="shared" si="137"/>
        <v>49.7887164318993</v>
      </c>
      <c r="AR99" s="31">
        <f t="shared" si="138"/>
        <v>-18.5131759374351</v>
      </c>
      <c r="AS99" t="str">
        <f t="shared" si="113"/>
        <v>-0,000100699300699301</v>
      </c>
      <c r="AT99" t="str">
        <f t="shared" si="114"/>
        <v>0,0000911555132662889i</v>
      </c>
      <c r="AU99">
        <f t="shared" si="139"/>
        <v>9.11555132662889e-5</v>
      </c>
      <c r="AV99">
        <f t="shared" si="140"/>
        <v>1.5707963267949</v>
      </c>
      <c r="AW99" t="str">
        <f t="shared" si="115"/>
        <v>1+0,00466699508345809i</v>
      </c>
      <c r="AX99">
        <f t="shared" si="141"/>
        <v>1.00001089036225</v>
      </c>
      <c r="AY99">
        <f t="shared" si="142"/>
        <v>0.00466696120020499</v>
      </c>
      <c r="AZ99" t="str">
        <f t="shared" si="116"/>
        <v>1+0,22312208409639i</v>
      </c>
      <c r="BA99">
        <f t="shared" si="143"/>
        <v>1.02458941259976</v>
      </c>
      <c r="BB99">
        <f t="shared" si="144"/>
        <v>0.219526297720768</v>
      </c>
      <c r="BC99" s="30" t="str">
        <f t="shared" si="145"/>
        <v>-0,241321613789948+1,10582410971229i</v>
      </c>
      <c r="BD99" s="32">
        <f t="shared" si="146"/>
        <v>1.0757729623674</v>
      </c>
      <c r="BE99" s="31">
        <f t="shared" si="147"/>
        <v>102.310533171609</v>
      </c>
      <c r="BF99" s="30" t="str">
        <f t="shared" si="148"/>
        <v>16,4355298377752+57,7108911215257i</v>
      </c>
      <c r="BG99" s="68">
        <f t="shared" si="149"/>
        <v>35.5638375389651</v>
      </c>
      <c r="BH99" s="31">
        <f t="shared" si="150"/>
        <v>74.103535441833</v>
      </c>
      <c r="BI99" s="30" t="str">
        <f t="shared" si="103"/>
        <v>37,7424415151136+347,275888445657i</v>
      </c>
      <c r="BJ99" s="68">
        <f t="shared" si="151"/>
        <v>50.8644893942666</v>
      </c>
      <c r="BK99" s="31">
        <f t="shared" si="104"/>
        <v>83.7973572341742</v>
      </c>
      <c r="BL99" s="32">
        <f t="shared" si="152"/>
        <v>35.5638375389651</v>
      </c>
      <c r="BM99" s="31">
        <f t="shared" si="153"/>
        <v>74.103535441833</v>
      </c>
      <c r="BO99">
        <f t="shared" si="154"/>
        <v>0</v>
      </c>
      <c r="BP99">
        <f t="shared" si="155"/>
        <v>0</v>
      </c>
    </row>
    <row r="100" spans="14:68">
      <c r="N100" s="7">
        <v>82</v>
      </c>
      <c r="O100" s="18">
        <f t="shared" si="117"/>
        <v>66.0693448007596</v>
      </c>
      <c r="P100" s="86" t="str">
        <f t="shared" si="105"/>
        <v>60</v>
      </c>
      <c r="Q100" s="4" t="str">
        <f t="shared" si="106"/>
        <v>1+0,54243122370263i</v>
      </c>
      <c r="R100" s="4">
        <f t="shared" si="118"/>
        <v>1.13764301626105</v>
      </c>
      <c r="S100" s="4">
        <f t="shared" si="119"/>
        <v>0.49701368473325</v>
      </c>
      <c r="T100" s="4" t="str">
        <f t="shared" si="107"/>
        <v>1+0,00650917468443157i</v>
      </c>
      <c r="U100" s="4">
        <f t="shared" si="120"/>
        <v>1.00002118445315</v>
      </c>
      <c r="V100" s="4">
        <f t="shared" si="121"/>
        <v>0.00650908275692403</v>
      </c>
      <c r="W100" t="str">
        <f t="shared" si="108"/>
        <v>1-0,00908087986109314i</v>
      </c>
      <c r="X100" s="4">
        <f t="shared" si="122"/>
        <v>1.00004123033956</v>
      </c>
      <c r="Y100" s="4">
        <f t="shared" si="123"/>
        <v>-0.00908063026312341</v>
      </c>
      <c r="Z100" t="str">
        <f t="shared" si="109"/>
        <v>0,999999964366055+0,00242297995593949i</v>
      </c>
      <c r="AA100" s="4">
        <f t="shared" si="124"/>
        <v>1.00000289977778</v>
      </c>
      <c r="AB100" s="4">
        <f t="shared" si="125"/>
        <v>0.00242297530066004</v>
      </c>
      <c r="AC100" s="67" t="str">
        <f t="shared" si="126"/>
        <v>46,2361303312359-25,3796087124449i</v>
      </c>
      <c r="AD100" s="68">
        <f t="shared" si="127"/>
        <v>34.4434218367122</v>
      </c>
      <c r="AE100" s="31">
        <f t="shared" si="128"/>
        <v>-28.7629515729757</v>
      </c>
      <c r="AF100" s="32" t="str">
        <f t="shared" si="129"/>
        <v>326,048966736478</v>
      </c>
      <c r="AG100" s="32" t="str">
        <f t="shared" si="110"/>
        <v>1+0,348705786665977i</v>
      </c>
      <c r="AH100" s="32">
        <f t="shared" si="130"/>
        <v>1.05905416559038</v>
      </c>
      <c r="AI100" s="32">
        <f t="shared" si="131"/>
        <v>0.335521380421289</v>
      </c>
      <c r="AJ100" s="32" t="str">
        <f t="shared" si="111"/>
        <v>1+0,00650917468443157i</v>
      </c>
      <c r="AK100" s="32">
        <f t="shared" si="132"/>
        <v>1.00002118445315</v>
      </c>
      <c r="AL100" s="32">
        <f t="shared" si="133"/>
        <v>0.00650908275692403</v>
      </c>
      <c r="AM100" s="32" t="str">
        <f t="shared" si="112"/>
        <v>1-0,00107424041839988i</v>
      </c>
      <c r="AN100" s="32">
        <f t="shared" si="134"/>
        <v>1.00000057699607</v>
      </c>
      <c r="AO100" s="32">
        <f t="shared" si="135"/>
        <v>-0.00107424000517838</v>
      </c>
      <c r="AP100" s="30" t="str">
        <f t="shared" si="136"/>
        <v>291,253938352446-99,7898789910334i</v>
      </c>
      <c r="AQ100" s="32">
        <f t="shared" si="137"/>
        <v>49.7674821250324</v>
      </c>
      <c r="AR100" s="31">
        <f t="shared" si="138"/>
        <v>-18.9125654825509</v>
      </c>
      <c r="AS100" t="str">
        <f t="shared" si="113"/>
        <v>-0,000100699300699301</v>
      </c>
      <c r="AT100" t="str">
        <f t="shared" si="114"/>
        <v>0,0000932787979331487i</v>
      </c>
      <c r="AU100">
        <f t="shared" si="139"/>
        <v>9.32787979331487e-5</v>
      </c>
      <c r="AV100">
        <f t="shared" si="140"/>
        <v>1.5707963267949</v>
      </c>
      <c r="AW100" t="str">
        <f t="shared" si="115"/>
        <v>1+0,0047757033639114i</v>
      </c>
      <c r="AX100">
        <f t="shared" si="141"/>
        <v>1.00001140360629</v>
      </c>
      <c r="AY100">
        <f t="shared" si="142"/>
        <v>0.00477566705737394</v>
      </c>
      <c r="AZ100" t="str">
        <f t="shared" si="116"/>
        <v>1+0,228319265078913i</v>
      </c>
      <c r="BA100">
        <f t="shared" si="143"/>
        <v>1.02573373094881</v>
      </c>
      <c r="BB100">
        <f t="shared" si="144"/>
        <v>0.224471511941757</v>
      </c>
      <c r="BC100" s="30" t="str">
        <f t="shared" si="145"/>
        <v>-0,241321366079078+1,08070434882256i</v>
      </c>
      <c r="BD100" s="32">
        <f t="shared" si="146"/>
        <v>0.885463975078279</v>
      </c>
      <c r="BE100" s="31">
        <f t="shared" si="147"/>
        <v>102.587644688436</v>
      </c>
      <c r="BF100" s="30" t="str">
        <f t="shared" si="148"/>
        <v>16,27008737321+56,092228966733i</v>
      </c>
      <c r="BG100" s="68">
        <f t="shared" si="149"/>
        <v>35.3288858117905</v>
      </c>
      <c r="BH100" s="31">
        <f t="shared" si="150"/>
        <v>73.8246931154602</v>
      </c>
      <c r="BI100" s="30" t="str">
        <f t="shared" si="103"/>
        <v>37,557557914963+338,840827708168i</v>
      </c>
      <c r="BJ100" s="68">
        <f t="shared" si="151"/>
        <v>50.6529461001107</v>
      </c>
      <c r="BK100" s="31">
        <f t="shared" si="104"/>
        <v>83.6750792058851</v>
      </c>
      <c r="BL100" s="32">
        <f t="shared" si="152"/>
        <v>35.3288858117905</v>
      </c>
      <c r="BM100" s="31">
        <f t="shared" si="153"/>
        <v>73.8246931154602</v>
      </c>
      <c r="BO100">
        <f t="shared" si="154"/>
        <v>0</v>
      </c>
      <c r="BP100">
        <f t="shared" si="155"/>
        <v>0</v>
      </c>
    </row>
    <row r="101" spans="14:68">
      <c r="N101" s="7">
        <v>83</v>
      </c>
      <c r="O101" s="18">
        <f t="shared" si="117"/>
        <v>67.6082975391982</v>
      </c>
      <c r="P101" s="86" t="str">
        <f t="shared" si="105"/>
        <v>60</v>
      </c>
      <c r="Q101" s="4" t="str">
        <f t="shared" si="106"/>
        <v>1+0,555066070009175i</v>
      </c>
      <c r="R101" s="4">
        <f t="shared" si="118"/>
        <v>1.1437212693989</v>
      </c>
      <c r="S101" s="4">
        <f t="shared" si="119"/>
        <v>0.506724385825729</v>
      </c>
      <c r="T101" s="4" t="str">
        <f t="shared" si="107"/>
        <v>1+0,00666079284011011i</v>
      </c>
      <c r="U101" s="4">
        <f t="shared" si="120"/>
        <v>1.00002218283459</v>
      </c>
      <c r="V101" s="4">
        <f t="shared" si="121"/>
        <v>0.0066606943381291</v>
      </c>
      <c r="W101" t="str">
        <f t="shared" si="108"/>
        <v>1-0,00929240072560004i</v>
      </c>
      <c r="X101" s="4">
        <f t="shared" si="122"/>
        <v>1.00004317342365</v>
      </c>
      <c r="Y101" s="4">
        <f t="shared" si="123"/>
        <v>-0.00929213327718052</v>
      </c>
      <c r="Z101" t="str">
        <f t="shared" si="109"/>
        <v>0,999999962686678+0,00247941840934961i</v>
      </c>
      <c r="AA101" s="4">
        <f t="shared" si="124"/>
        <v>1.00000303643989</v>
      </c>
      <c r="AB101" s="4">
        <f t="shared" si="125"/>
        <v>0.00247941342112863</v>
      </c>
      <c r="AC101" s="67" t="str">
        <f t="shared" si="126"/>
        <v>45,7402414853016-25,6955249997293i</v>
      </c>
      <c r="AD101" s="68">
        <f t="shared" si="127"/>
        <v>34.3971623483142</v>
      </c>
      <c r="AE101" s="31">
        <f t="shared" si="128"/>
        <v>-29.3259989541258</v>
      </c>
      <c r="AF101" s="32" t="str">
        <f t="shared" si="129"/>
        <v>326,048966736478</v>
      </c>
      <c r="AG101" s="32" t="str">
        <f t="shared" si="110"/>
        <v>1+0,356828187863042i</v>
      </c>
      <c r="AH101" s="32">
        <f t="shared" si="130"/>
        <v>1.06175626000209</v>
      </c>
      <c r="AI101" s="32">
        <f t="shared" si="131"/>
        <v>0.342744839402792</v>
      </c>
      <c r="AJ101" s="32" t="str">
        <f t="shared" si="111"/>
        <v>1+0,00666079284011011i</v>
      </c>
      <c r="AK101" s="32">
        <f t="shared" si="132"/>
        <v>1.00002218283459</v>
      </c>
      <c r="AL101" s="32">
        <f t="shared" si="133"/>
        <v>0.0066606943381291</v>
      </c>
      <c r="AM101" s="32" t="str">
        <f t="shared" si="112"/>
        <v>1-0,00109926269217334i</v>
      </c>
      <c r="AN101" s="32">
        <f t="shared" si="134"/>
        <v>1.00000060418905</v>
      </c>
      <c r="AO101" s="32">
        <f t="shared" si="135"/>
        <v>-0.00109926224939854</v>
      </c>
      <c r="AP101" s="30" t="str">
        <f t="shared" si="136"/>
        <v>289,799311518871-101,595232015028i</v>
      </c>
      <c r="AQ101" s="32">
        <f t="shared" si="137"/>
        <v>49.745357883893</v>
      </c>
      <c r="AR101" s="31">
        <f t="shared" si="138"/>
        <v>-19.3191861609364</v>
      </c>
      <c r="AS101" t="str">
        <f t="shared" si="113"/>
        <v>-0,000100699300699301</v>
      </c>
      <c r="AT101" t="str">
        <f t="shared" si="114"/>
        <v>0,0000954515402533636i</v>
      </c>
      <c r="AU101">
        <f t="shared" si="139"/>
        <v>9.54515402533636e-5</v>
      </c>
      <c r="AV101">
        <f t="shared" si="140"/>
        <v>1.5707963267949</v>
      </c>
      <c r="AW101" t="str">
        <f t="shared" si="115"/>
        <v>1+0,00488694378550216i</v>
      </c>
      <c r="AX101">
        <f t="shared" si="141"/>
        <v>1.00001194103849</v>
      </c>
      <c r="AY101">
        <f t="shared" si="142"/>
        <v>0.00488690488237146</v>
      </c>
      <c r="AZ101" t="str">
        <f t="shared" si="116"/>
        <v>1+0,233637503957944i</v>
      </c>
      <c r="BA101">
        <f t="shared" si="143"/>
        <v>1.02693061267824</v>
      </c>
      <c r="BB101">
        <f t="shared" si="144"/>
        <v>0.229520379146161</v>
      </c>
      <c r="BC101" s="30" t="str">
        <f t="shared" si="145"/>
        <v>-0,241321106694502+1,05615759157187i</v>
      </c>
      <c r="BD101" s="32">
        <f t="shared" si="146"/>
        <v>0.695588565472829</v>
      </c>
      <c r="BE101" s="31">
        <f t="shared" si="147"/>
        <v>102.870550012676</v>
      </c>
      <c r="BF101" s="30" t="str">
        <f t="shared" si="148"/>
        <v>16,1004381021821+54,5097758150628i</v>
      </c>
      <c r="BG101" s="68">
        <f t="shared" si="149"/>
        <v>35.0927509137871</v>
      </c>
      <c r="BH101" s="31">
        <f t="shared" si="150"/>
        <v>73.5445510585499</v>
      </c>
      <c r="BI101" s="30" t="str">
        <f t="shared" si="103"/>
        <v>37,3658849851386+330,590816717708i</v>
      </c>
      <c r="BJ101" s="68">
        <f t="shared" si="151"/>
        <v>50.4409464493658</v>
      </c>
      <c r="BK101" s="31">
        <f t="shared" si="104"/>
        <v>83.5513638517393</v>
      </c>
      <c r="BL101" s="32">
        <f t="shared" si="152"/>
        <v>35.0927509137871</v>
      </c>
      <c r="BM101" s="31">
        <f t="shared" si="153"/>
        <v>73.5445510585499</v>
      </c>
      <c r="BO101">
        <f t="shared" si="154"/>
        <v>0</v>
      </c>
      <c r="BP101">
        <f t="shared" si="155"/>
        <v>0</v>
      </c>
    </row>
    <row r="102" spans="14:68">
      <c r="N102" s="7">
        <v>84</v>
      </c>
      <c r="O102" s="18">
        <f t="shared" si="117"/>
        <v>69.1830970918937</v>
      </c>
      <c r="P102" s="86" t="str">
        <f t="shared" si="105"/>
        <v>60</v>
      </c>
      <c r="Q102" s="4" t="str">
        <f t="shared" si="106"/>
        <v>1+0,567995219693207i</v>
      </c>
      <c r="R102" s="4">
        <f t="shared" si="118"/>
        <v>1.15005155084211</v>
      </c>
      <c r="S102" s="4">
        <f t="shared" si="119"/>
        <v>0.51655406745122</v>
      </c>
      <c r="T102" s="4" t="str">
        <f t="shared" si="107"/>
        <v>1+0,0068159426363185i</v>
      </c>
      <c r="U102" s="4">
        <f t="shared" si="120"/>
        <v>1.00002322826723</v>
      </c>
      <c r="V102" s="4">
        <f t="shared" si="121"/>
        <v>0.00681583708967666</v>
      </c>
      <c r="W102" t="str">
        <f t="shared" si="108"/>
        <v>1-0,00950884854397111i</v>
      </c>
      <c r="X102" s="4">
        <f t="shared" si="122"/>
        <v>1.00004520807843</v>
      </c>
      <c r="Y102" s="4">
        <f t="shared" si="123"/>
        <v>-0.00950856196852612</v>
      </c>
      <c r="Z102" t="str">
        <f t="shared" si="109"/>
        <v>0,999999960928156+0,00253717148321935i</v>
      </c>
      <c r="AA102" s="4">
        <f t="shared" si="124"/>
        <v>1.00000317954267</v>
      </c>
      <c r="AB102" s="4">
        <f t="shared" si="125"/>
        <v>0.00253716613824519</v>
      </c>
      <c r="AC102" s="67" t="str">
        <f t="shared" si="126"/>
        <v>45,2321268014906-26,0054443076932i</v>
      </c>
      <c r="AD102" s="68">
        <f t="shared" si="127"/>
        <v>34.3492456507366</v>
      </c>
      <c r="AE102" s="31">
        <f t="shared" si="128"/>
        <v>-29.8960186378639</v>
      </c>
      <c r="AF102" s="32" t="str">
        <f t="shared" si="129"/>
        <v>326,048966736478</v>
      </c>
      <c r="AG102" s="32" t="str">
        <f t="shared" si="110"/>
        <v>1+0,365139784088491i</v>
      </c>
      <c r="AH102" s="32">
        <f t="shared" si="130"/>
        <v>1.06457834935912</v>
      </c>
      <c r="AI102" s="32">
        <f t="shared" si="131"/>
        <v>0.350098200468281</v>
      </c>
      <c r="AJ102" s="32" t="str">
        <f t="shared" si="111"/>
        <v>1+0,0068159426363185i</v>
      </c>
      <c r="AK102" s="32">
        <f t="shared" si="132"/>
        <v>1.00002322826723</v>
      </c>
      <c r="AL102" s="32">
        <f t="shared" si="133"/>
        <v>0.00681583708967666</v>
      </c>
      <c r="AM102" s="32" t="str">
        <f t="shared" si="112"/>
        <v>1-0,00112486780957666i</v>
      </c>
      <c r="AN102" s="32">
        <f t="shared" si="134"/>
        <v>1.00000063266359</v>
      </c>
      <c r="AO102" s="32">
        <f t="shared" si="135"/>
        <v>-0.00112486733513493</v>
      </c>
      <c r="AP102" s="30" t="str">
        <f t="shared" si="136"/>
        <v>288,291897044139-103,411271974279i</v>
      </c>
      <c r="AQ102" s="32">
        <f t="shared" si="137"/>
        <v>49.7223112249576</v>
      </c>
      <c r="AR102" s="31">
        <f t="shared" si="138"/>
        <v>-19.7330807536856</v>
      </c>
      <c r="AS102" t="str">
        <f t="shared" si="113"/>
        <v>-0,000100699300699301</v>
      </c>
      <c r="AT102" t="str">
        <f t="shared" si="114"/>
        <v>0,0000976748922436713i</v>
      </c>
      <c r="AU102">
        <f t="shared" si="139"/>
        <v>9.76748922436713e-5</v>
      </c>
      <c r="AV102">
        <f t="shared" si="140"/>
        <v>1.5707963267949</v>
      </c>
      <c r="AW102" t="str">
        <f t="shared" si="115"/>
        <v>1+0,00500077532937434i</v>
      </c>
      <c r="AX102">
        <f t="shared" si="141"/>
        <v>1.00001250379877</v>
      </c>
      <c r="AY102">
        <f t="shared" si="142"/>
        <v>0.00500073364394691</v>
      </c>
      <c r="AZ102" t="str">
        <f t="shared" si="116"/>
        <v>1+0,239079620534131i</v>
      </c>
      <c r="BA102">
        <f t="shared" si="143"/>
        <v>1.0281824084056</v>
      </c>
      <c r="BB102">
        <f t="shared" si="144"/>
        <v>0.234674546242204</v>
      </c>
      <c r="BC102" s="30" t="str">
        <f t="shared" si="145"/>
        <v>-0,241320835086103+1,03217082293661i</v>
      </c>
      <c r="BD102" s="32">
        <f t="shared" si="146"/>
        <v>0.506165052566072</v>
      </c>
      <c r="BE102" s="31">
        <f t="shared" si="147"/>
        <v>103.159340126559</v>
      </c>
      <c r="BF102" s="30" t="str">
        <f t="shared" si="148"/>
        <v>15,9266062394477+52,9629370809853i</v>
      </c>
      <c r="BG102" s="68">
        <f t="shared" si="149"/>
        <v>34.8554107033027</v>
      </c>
      <c r="BH102" s="31">
        <f t="shared" si="150"/>
        <v>73.2633214886948</v>
      </c>
      <c r="BI102" s="30" t="str">
        <f t="shared" si="103"/>
        <v>37,1672563513647+322,521779128154i</v>
      </c>
      <c r="BJ102" s="68">
        <f t="shared" si="151"/>
        <v>50.2284762775237</v>
      </c>
      <c r="BK102" s="31">
        <f t="shared" si="104"/>
        <v>83.4262593728731</v>
      </c>
      <c r="BL102" s="32">
        <f t="shared" si="152"/>
        <v>34.8554107033027</v>
      </c>
      <c r="BM102" s="31">
        <f t="shared" si="153"/>
        <v>73.2633214886948</v>
      </c>
      <c r="BO102">
        <f t="shared" si="154"/>
        <v>0</v>
      </c>
      <c r="BP102">
        <f t="shared" si="155"/>
        <v>0</v>
      </c>
    </row>
    <row r="103" spans="14:68">
      <c r="N103" s="7">
        <v>85</v>
      </c>
      <c r="O103" s="18">
        <f t="shared" si="117"/>
        <v>70.7945784384139</v>
      </c>
      <c r="P103" s="86" t="str">
        <f t="shared" si="105"/>
        <v>60</v>
      </c>
      <c r="Q103" s="4" t="str">
        <f t="shared" si="106"/>
        <v>1+0,581225527961027i</v>
      </c>
      <c r="R103" s="4">
        <f t="shared" si="118"/>
        <v>1.15664303670302</v>
      </c>
      <c r="S103" s="4">
        <f t="shared" si="119"/>
        <v>0.526500342585658</v>
      </c>
      <c r="T103" s="4" t="str">
        <f t="shared" si="107"/>
        <v>1+0,00697470633553234i</v>
      </c>
      <c r="U103" s="4">
        <f t="shared" si="120"/>
        <v>1.00002432296843</v>
      </c>
      <c r="V103" s="4">
        <f t="shared" si="121"/>
        <v>0.00697459324041657</v>
      </c>
      <c r="W103" t="str">
        <f t="shared" si="108"/>
        <v>1-0,00973033807970471i</v>
      </c>
      <c r="X103" s="4">
        <f t="shared" si="122"/>
        <v>1.0000473386191</v>
      </c>
      <c r="Y103" s="4">
        <f t="shared" si="123"/>
        <v>-0.00973003100936804</v>
      </c>
      <c r="Z103" t="str">
        <f t="shared" si="109"/>
        <v>0,999999959086756+0,00259626979899293i</v>
      </c>
      <c r="AA103" s="4">
        <f t="shared" si="124"/>
        <v>1.00000332938965</v>
      </c>
      <c r="AB103" s="4">
        <f t="shared" si="125"/>
        <v>0.00259626407175096</v>
      </c>
      <c r="AC103" s="67" t="str">
        <f t="shared" si="126"/>
        <v>44,7118871408071-26,3088127290332i</v>
      </c>
      <c r="AD103" s="68">
        <f t="shared" si="127"/>
        <v>34.2996315689334</v>
      </c>
      <c r="AE103" s="31">
        <f t="shared" si="128"/>
        <v>-30.4728774710349</v>
      </c>
      <c r="AF103" s="32" t="str">
        <f t="shared" si="129"/>
        <v>326,048966736478</v>
      </c>
      <c r="AG103" s="32" t="str">
        <f t="shared" si="110"/>
        <v>1+0,373644982260661i</v>
      </c>
      <c r="AH103" s="32">
        <f t="shared" si="130"/>
        <v>1.06752544361648</v>
      </c>
      <c r="AI103" s="32">
        <f t="shared" si="131"/>
        <v>0.357582180617479</v>
      </c>
      <c r="AJ103" s="32" t="str">
        <f t="shared" si="111"/>
        <v>1+0,00697470633553234i</v>
      </c>
      <c r="AK103" s="32">
        <f t="shared" si="132"/>
        <v>1.00002432296843</v>
      </c>
      <c r="AL103" s="32">
        <f t="shared" si="133"/>
        <v>0.00697459324041657</v>
      </c>
      <c r="AM103" s="32" t="str">
        <f t="shared" si="112"/>
        <v>1-0,001151069346782i</v>
      </c>
      <c r="AN103" s="32">
        <f t="shared" si="134"/>
        <v>1.0000006624801</v>
      </c>
      <c r="AO103" s="32">
        <f t="shared" si="135"/>
        <v>-0.00115106883840854</v>
      </c>
      <c r="AP103" s="30" t="str">
        <f t="shared" si="136"/>
        <v>286,730454990355-105,236604945632i</v>
      </c>
      <c r="AQ103" s="32">
        <f t="shared" si="137"/>
        <v>49.6983088855722</v>
      </c>
      <c r="AR103" s="31">
        <f t="shared" si="138"/>
        <v>-20.1542864083398</v>
      </c>
      <c r="AS103" t="str">
        <f t="shared" si="113"/>
        <v>-0,000100699300699301</v>
      </c>
      <c r="AT103" t="str">
        <f t="shared" si="114"/>
        <v>0,0000999500327547267i</v>
      </c>
      <c r="AU103">
        <f t="shared" si="139"/>
        <v>9.99500327547267e-5</v>
      </c>
      <c r="AV103">
        <f t="shared" si="140"/>
        <v>1.5707963267949</v>
      </c>
      <c r="AW103" t="str">
        <f t="shared" si="115"/>
        <v>1+0,00511725835051925i</v>
      </c>
      <c r="AX103">
        <f t="shared" si="141"/>
        <v>1.0000130930808</v>
      </c>
      <c r="AY103">
        <f t="shared" si="142"/>
        <v>0.00511721368381059</v>
      </c>
      <c r="AZ103" t="str">
        <f t="shared" si="116"/>
        <v>1+0,244648500289718i</v>
      </c>
      <c r="BA103">
        <f t="shared" si="143"/>
        <v>1.02949156805387</v>
      </c>
      <c r="BB103">
        <f t="shared" si="144"/>
        <v>0.239935650172148</v>
      </c>
      <c r="BC103" s="30" t="str">
        <f t="shared" si="145"/>
        <v>-0,24132055067785+1,00873132480602i</v>
      </c>
      <c r="BD103" s="32">
        <f t="shared" si="146"/>
        <v>0.317212431223946</v>
      </c>
      <c r="BE103" s="31">
        <f t="shared" si="147"/>
        <v>103.454105362642</v>
      </c>
      <c r="BF103" s="30" t="str">
        <f t="shared" si="148"/>
        <v>15,7486262915657+51,4511383255743i</v>
      </c>
      <c r="BG103" s="68">
        <f t="shared" si="149"/>
        <v>34.6168440001573</v>
      </c>
      <c r="BH103" s="31">
        <f t="shared" si="150"/>
        <v>72.9812278916076</v>
      </c>
      <c r="BI103" s="30" t="str">
        <f t="shared" si="103"/>
        <v>36,9615086305122+314,629747181601i</v>
      </c>
      <c r="BJ103" s="68">
        <f t="shared" si="151"/>
        <v>50.0155213167962</v>
      </c>
      <c r="BK103" s="31">
        <f t="shared" si="104"/>
        <v>83.2998189543027</v>
      </c>
      <c r="BL103" s="32">
        <f t="shared" si="152"/>
        <v>34.6168440001573</v>
      </c>
      <c r="BM103" s="31">
        <f t="shared" si="153"/>
        <v>72.9812278916076</v>
      </c>
      <c r="BO103">
        <f t="shared" si="154"/>
        <v>0</v>
      </c>
      <c r="BP103">
        <f t="shared" si="155"/>
        <v>0</v>
      </c>
    </row>
    <row r="104" spans="14:68">
      <c r="N104" s="7">
        <v>86</v>
      </c>
      <c r="O104" s="18">
        <f t="shared" si="117"/>
        <v>72.443596007499</v>
      </c>
      <c r="P104" s="86" t="str">
        <f t="shared" si="105"/>
        <v>60</v>
      </c>
      <c r="Q104" s="4" t="str">
        <f t="shared" si="106"/>
        <v>1+0,594764009697199i</v>
      </c>
      <c r="R104" s="4">
        <f t="shared" si="118"/>
        <v>1.16350514705827</v>
      </c>
      <c r="S104" s="4">
        <f t="shared" si="119"/>
        <v>0.536560612496748</v>
      </c>
      <c r="T104" s="4" t="str">
        <f t="shared" si="107"/>
        <v>1+0,0071371681163664i</v>
      </c>
      <c r="U104" s="4">
        <f t="shared" si="120"/>
        <v>1.00002546926002</v>
      </c>
      <c r="V104" s="4">
        <f t="shared" si="121"/>
        <v>0.00713704693293321</v>
      </c>
      <c r="W104" t="str">
        <f t="shared" si="108"/>
        <v>1-0,00995698676948437i</v>
      </c>
      <c r="X104" s="4">
        <f t="shared" si="122"/>
        <v>1.00004956956419</v>
      </c>
      <c r="Y104" s="4">
        <f t="shared" si="123"/>
        <v>-0.0099566577385714</v>
      </c>
      <c r="Z104" t="str">
        <f t="shared" si="109"/>
        <v>0,999999957158575+0,00265674469137962i</v>
      </c>
      <c r="AA104" s="4">
        <f t="shared" si="124"/>
        <v>1.00000348629868</v>
      </c>
      <c r="AB104" s="4">
        <f t="shared" si="125"/>
        <v>0.00265673855453044</v>
      </c>
      <c r="AC104" s="67" t="str">
        <f t="shared" si="126"/>
        <v>44,1796545448846-26,605071314399i</v>
      </c>
      <c r="AD104" s="68">
        <f t="shared" si="127"/>
        <v>34.2482803148158</v>
      </c>
      <c r="AE104" s="31">
        <f t="shared" si="128"/>
        <v>-31.0564302544949</v>
      </c>
      <c r="AF104" s="32" t="str">
        <f t="shared" si="129"/>
        <v>326,048966736478</v>
      </c>
      <c r="AG104" s="32" t="str">
        <f t="shared" si="110"/>
        <v>1+0,3823482919482i</v>
      </c>
      <c r="AH104" s="32">
        <f t="shared" si="130"/>
        <v>1.07060273507763</v>
      </c>
      <c r="AI104" s="32">
        <f t="shared" si="131"/>
        <v>0.365197393549519</v>
      </c>
      <c r="AJ104" s="32" t="str">
        <f t="shared" si="111"/>
        <v>1+0,0071371681163664i</v>
      </c>
      <c r="AK104" s="32">
        <f t="shared" si="132"/>
        <v>1.00002546926002</v>
      </c>
      <c r="AL104" s="32">
        <f t="shared" si="133"/>
        <v>0.00713704693293321</v>
      </c>
      <c r="AM104" s="32" t="str">
        <f t="shared" si="112"/>
        <v>1-0,0011778811961912i</v>
      </c>
      <c r="AN104" s="32">
        <f t="shared" si="134"/>
        <v>1.00000069370182</v>
      </c>
      <c r="AO104" s="32">
        <f t="shared" si="135"/>
        <v>-0.00117788065145925</v>
      </c>
      <c r="AP104" s="30" t="str">
        <f t="shared" si="136"/>
        <v>285,113773619606-107,069745011553i</v>
      </c>
      <c r="AQ104" s="32">
        <f t="shared" si="137"/>
        <v>49.6733168398361</v>
      </c>
      <c r="AR104" s="31">
        <f t="shared" si="138"/>
        <v>-20.5828342622205</v>
      </c>
      <c r="AS104" t="str">
        <f t="shared" si="113"/>
        <v>-0,000100699300699301</v>
      </c>
      <c r="AT104" t="str">
        <f t="shared" si="114"/>
        <v>0,000102278168096144i</v>
      </c>
      <c r="AU104">
        <f t="shared" si="139"/>
        <v>0.000102278168096144</v>
      </c>
      <c r="AV104">
        <f t="shared" si="140"/>
        <v>1.5707963267949</v>
      </c>
      <c r="AW104" t="str">
        <f t="shared" si="115"/>
        <v>1+0,00523645460977651i</v>
      </c>
      <c r="AX104">
        <f t="shared" si="141"/>
        <v>1.00001371013446</v>
      </c>
      <c r="AY104">
        <f t="shared" si="142"/>
        <v>0.00523640674857132</v>
      </c>
      <c r="AZ104" t="str">
        <f t="shared" si="116"/>
        <v>1+0,250347095918464i</v>
      </c>
      <c r="BA104">
        <f t="shared" si="143"/>
        <v>1.03086064452709</v>
      </c>
      <c r="BB104">
        <f t="shared" si="144"/>
        <v>0.245305314949208</v>
      </c>
      <c r="BC104" s="30" t="str">
        <f t="shared" si="145"/>
        <v>-0,241320252866567+0,985826669238759i</v>
      </c>
      <c r="BD104" s="32">
        <f t="shared" si="146"/>
        <v>0.128750388191171</v>
      </c>
      <c r="BE104" s="31">
        <f t="shared" si="147"/>
        <v>103.75493523221</v>
      </c>
      <c r="BF104" s="30" t="str">
        <f t="shared" si="148"/>
        <v>15,5665434324045+49,9738242252264i</v>
      </c>
      <c r="BG104" s="68">
        <f t="shared" si="149"/>
        <v>34.3770307030069</v>
      </c>
      <c r="BH104" s="31">
        <f t="shared" si="150"/>
        <v>72.6985049777151</v>
      </c>
      <c r="BI104" s="30" t="str">
        <f t="shared" si="103"/>
        <v>36,7484821553581+306,910859742057i</v>
      </c>
      <c r="BJ104" s="68">
        <f t="shared" si="151"/>
        <v>49.8020672280273</v>
      </c>
      <c r="BK104" s="31">
        <f t="shared" si="104"/>
        <v>83.1721009699896</v>
      </c>
      <c r="BL104" s="32">
        <f t="shared" si="152"/>
        <v>34.3770307030069</v>
      </c>
      <c r="BM104" s="31">
        <f t="shared" si="153"/>
        <v>72.6985049777151</v>
      </c>
      <c r="BO104">
        <f t="shared" si="154"/>
        <v>0</v>
      </c>
      <c r="BP104">
        <f t="shared" si="155"/>
        <v>0</v>
      </c>
    </row>
    <row r="105" spans="14:68">
      <c r="N105" s="7">
        <v>87</v>
      </c>
      <c r="O105" s="18">
        <f t="shared" si="117"/>
        <v>74.1310241300918</v>
      </c>
      <c r="P105" s="86" t="str">
        <f t="shared" si="105"/>
        <v>60</v>
      </c>
      <c r="Q105" s="4" t="str">
        <f t="shared" si="106"/>
        <v>1+0,608617843183947i</v>
      </c>
      <c r="R105" s="4">
        <f t="shared" si="118"/>
        <v>1.17064754689098</v>
      </c>
      <c r="S105" s="4">
        <f t="shared" si="119"/>
        <v>0.546732065195269</v>
      </c>
      <c r="T105" s="4" t="str">
        <f t="shared" si="107"/>
        <v>1+0,00730341411820737i</v>
      </c>
      <c r="U105" s="4">
        <f t="shared" si="120"/>
        <v>1.00002666957326</v>
      </c>
      <c r="V105" s="4">
        <f t="shared" si="121"/>
        <v>0.00730328426800626</v>
      </c>
      <c r="W105" t="str">
        <f t="shared" si="108"/>
        <v>1-0,0101889147854456i</v>
      </c>
      <c r="X105" s="4">
        <f t="shared" si="122"/>
        <v>1.00005190564515</v>
      </c>
      <c r="Y105" s="4">
        <f t="shared" si="123"/>
        <v>-0.0101885622234586</v>
      </c>
      <c r="Z105" t="str">
        <f t="shared" si="109"/>
        <v>0,99999995513952+0,00271862822496787i</v>
      </c>
      <c r="AA105" s="4">
        <f t="shared" si="124"/>
        <v>1.00000365060257</v>
      </c>
      <c r="AB105" s="4">
        <f t="shared" si="125"/>
        <v>0.0027186216492168</v>
      </c>
      <c r="AC105" s="67" t="str">
        <f t="shared" si="126"/>
        <v>43,635593214756-26,8936580373116i</v>
      </c>
      <c r="AD105" s="68">
        <f t="shared" si="127"/>
        <v>34.1951525920275</v>
      </c>
      <c r="AE105" s="31">
        <f t="shared" si="128"/>
        <v>-31.6465196563229</v>
      </c>
      <c r="AF105" s="32" t="str">
        <f t="shared" si="129"/>
        <v>326,048966736478</v>
      </c>
      <c r="AG105" s="32" t="str">
        <f t="shared" si="110"/>
        <v>1+0,391254327761109i</v>
      </c>
      <c r="AH105" s="32">
        <f t="shared" si="130"/>
        <v>1.07381560288152</v>
      </c>
      <c r="AI105" s="32">
        <f t="shared" si="131"/>
        <v>0.372944343007426</v>
      </c>
      <c r="AJ105" s="32" t="str">
        <f t="shared" si="111"/>
        <v>1+0,00730341411820737i</v>
      </c>
      <c r="AK105" s="32">
        <f t="shared" si="132"/>
        <v>1.00002666957326</v>
      </c>
      <c r="AL105" s="32">
        <f t="shared" si="133"/>
        <v>0.00730328426800626</v>
      </c>
      <c r="AM105" s="32" t="str">
        <f t="shared" si="112"/>
        <v>1-0,00120531757380173i</v>
      </c>
      <c r="AN105" s="32">
        <f t="shared" si="134"/>
        <v>1.00000072639496</v>
      </c>
      <c r="AO105" s="32">
        <f t="shared" si="135"/>
        <v>-0.00120531699011095</v>
      </c>
      <c r="AP105" s="30" t="str">
        <f t="shared" si="136"/>
        <v>283,440675221297-108,909112766501i</v>
      </c>
      <c r="AQ105" s="32">
        <f t="shared" si="137"/>
        <v>49.6473003180175</v>
      </c>
      <c r="AR105" s="31">
        <f t="shared" si="138"/>
        <v>-21.0187490589726</v>
      </c>
      <c r="AS105" t="str">
        <f t="shared" si="113"/>
        <v>-0,000100699300699301</v>
      </c>
      <c r="AT105" t="str">
        <f t="shared" si="114"/>
        <v>0,000104660532676097i</v>
      </c>
      <c r="AU105">
        <f t="shared" si="139"/>
        <v>0.000104660532676097</v>
      </c>
      <c r="AV105">
        <f t="shared" si="140"/>
        <v>1.5707963267949</v>
      </c>
      <c r="AW105" t="str">
        <f t="shared" si="115"/>
        <v>1+0,00535842730658056i</v>
      </c>
      <c r="AX105">
        <f t="shared" si="141"/>
        <v>1.00001435626855</v>
      </c>
      <c r="AY105">
        <f t="shared" si="142"/>
        <v>0.00535837602241499</v>
      </c>
      <c r="AZ105" t="str">
        <f t="shared" si="116"/>
        <v>1+0,256178428891202i</v>
      </c>
      <c r="BA105">
        <f t="shared" si="143"/>
        <v>1.03229229747643</v>
      </c>
      <c r="BB105">
        <f t="shared" si="144"/>
        <v>0.250785148506615</v>
      </c>
      <c r="BC105" s="30" t="str">
        <f t="shared" si="145"/>
        <v>-0,24131994102066+0,963444711873466i</v>
      </c>
      <c r="BD105" s="32">
        <f t="shared" si="146"/>
        <v>-0.0592006823497995</v>
      </c>
      <c r="BE105" s="31">
        <f t="shared" si="147"/>
        <v>104.061918242862</v>
      </c>
      <c r="BF105" s="30" t="str">
        <f t="shared" si="148"/>
        <v>15,3804138379948+48,5304575036122i</v>
      </c>
      <c r="BG105" s="68">
        <f t="shared" si="149"/>
        <v>34.1359519096777</v>
      </c>
      <c r="BH105" s="31">
        <f t="shared" si="150"/>
        <v>72.4153985865392</v>
      </c>
      <c r="BI105" s="30" t="str">
        <f t="shared" si="103"/>
        <v>36,5280217424569+299,361360341228i</v>
      </c>
      <c r="BJ105" s="68">
        <f t="shared" si="151"/>
        <v>49.5880996356677</v>
      </c>
      <c r="BK105" s="31">
        <f t="shared" si="104"/>
        <v>83.0431691838895</v>
      </c>
      <c r="BL105" s="32">
        <f t="shared" si="152"/>
        <v>34.1359519096777</v>
      </c>
      <c r="BM105" s="31">
        <f t="shared" si="153"/>
        <v>72.4153985865392</v>
      </c>
      <c r="BO105">
        <f t="shared" si="154"/>
        <v>0</v>
      </c>
      <c r="BP105">
        <f t="shared" si="155"/>
        <v>0</v>
      </c>
    </row>
    <row r="106" spans="14:68">
      <c r="N106" s="7">
        <v>88</v>
      </c>
      <c r="O106" s="18">
        <f t="shared" si="117"/>
        <v>75.8577575029184</v>
      </c>
      <c r="P106" s="86" t="str">
        <f t="shared" si="105"/>
        <v>60</v>
      </c>
      <c r="Q106" s="4" t="str">
        <f t="shared" si="106"/>
        <v>1+0,62279437390716i</v>
      </c>
      <c r="R106" s="4">
        <f t="shared" si="118"/>
        <v>1.17808014675166</v>
      </c>
      <c r="S106" s="4">
        <f t="shared" si="119"/>
        <v>0.557011674658082</v>
      </c>
      <c r="T106" s="4" t="str">
        <f t="shared" si="107"/>
        <v>1+0,00747353248688593i</v>
      </c>
      <c r="U106" s="4">
        <f t="shared" si="120"/>
        <v>1.00002792645397</v>
      </c>
      <c r="V106" s="4">
        <f t="shared" si="121"/>
        <v>0.0074733933500985</v>
      </c>
      <c r="W106" t="str">
        <f t="shared" si="108"/>
        <v>1-0,0104262450988922i</v>
      </c>
      <c r="X106" s="4">
        <f t="shared" si="122"/>
        <v>1.00005435181637</v>
      </c>
      <c r="Y106" s="4">
        <f t="shared" si="123"/>
        <v>-0.0104258673230258</v>
      </c>
      <c r="Z106" t="str">
        <f t="shared" si="109"/>
        <v>0,999999953025311+0,00278195321122628i</v>
      </c>
      <c r="AA106" s="4">
        <f t="shared" si="124"/>
        <v>1.00000382264984</v>
      </c>
      <c r="AB106" s="4">
        <f t="shared" si="125"/>
        <v>0.00278194616518351</v>
      </c>
      <c r="AC106" s="67" t="str">
        <f t="shared" si="126"/>
        <v>43,0799003547805-27,1740098861663i</v>
      </c>
      <c r="AD106" s="68">
        <f t="shared" si="127"/>
        <v>34.1402097037408</v>
      </c>
      <c r="AE106" s="31">
        <f t="shared" si="128"/>
        <v>-32.2429761692907</v>
      </c>
      <c r="AF106" s="32" t="str">
        <f t="shared" si="129"/>
        <v>326,048966736478</v>
      </c>
      <c r="AG106" s="32" t="str">
        <f t="shared" si="110"/>
        <v>1+0,400367811797461i</v>
      </c>
      <c r="AH106" s="32">
        <f t="shared" si="130"/>
        <v>1.07716961743427</v>
      </c>
      <c r="AI106" s="32">
        <f t="shared" si="131"/>
        <v>0.380823416026914</v>
      </c>
      <c r="AJ106" s="32" t="str">
        <f t="shared" si="111"/>
        <v>1+0,00747353248688593i</v>
      </c>
      <c r="AK106" s="32">
        <f t="shared" si="132"/>
        <v>1.00002792645397</v>
      </c>
      <c r="AL106" s="32">
        <f t="shared" si="133"/>
        <v>0.0074733933500985</v>
      </c>
      <c r="AM106" s="32" t="str">
        <f t="shared" si="112"/>
        <v>1-0,00123339302674415i</v>
      </c>
      <c r="AN106" s="32">
        <f t="shared" si="134"/>
        <v>1.00000076062889</v>
      </c>
      <c r="AO106" s="32">
        <f t="shared" si="135"/>
        <v>-0.00123339240130824</v>
      </c>
      <c r="AP106" s="30" t="str">
        <f t="shared" si="136"/>
        <v>281,710022259015-110,753034149985i</v>
      </c>
      <c r="AQ106" s="32">
        <f t="shared" si="137"/>
        <v>49.6202238297026</v>
      </c>
      <c r="AR106" s="31">
        <f t="shared" si="138"/>
        <v>-21.4620487595735</v>
      </c>
      <c r="AS106" t="str">
        <f t="shared" si="113"/>
        <v>-0,000100699300699301</v>
      </c>
      <c r="AT106" t="str">
        <f t="shared" si="114"/>
        <v>0,000107098389655821i</v>
      </c>
      <c r="AU106">
        <f t="shared" si="139"/>
        <v>0.000107098389655821</v>
      </c>
      <c r="AV106">
        <f t="shared" si="140"/>
        <v>1.5707963267949</v>
      </c>
      <c r="AW106" t="str">
        <f t="shared" si="115"/>
        <v>1+0,00548324111246972i</v>
      </c>
      <c r="AX106">
        <f t="shared" si="141"/>
        <v>1.00001503285356</v>
      </c>
      <c r="AY106">
        <f t="shared" si="142"/>
        <v>0.00548318616054088</v>
      </c>
      <c r="AZ106" t="str">
        <f t="shared" si="116"/>
        <v>1+0,262145591057861i</v>
      </c>
      <c r="BA106">
        <f t="shared" si="143"/>
        <v>1.03378929715444</v>
      </c>
      <c r="BB106">
        <f t="shared" si="144"/>
        <v>0.256376739353395</v>
      </c>
      <c r="BC106" s="30" t="str">
        <f t="shared" si="145"/>
        <v>-0,241319614478771+0,941573585489563i</v>
      </c>
      <c r="BD106" s="32">
        <f t="shared" si="146"/>
        <v>-0.246619663792863</v>
      </c>
      <c r="BE106" s="31">
        <f t="shared" si="147"/>
        <v>104.375141704992</v>
      </c>
      <c r="BF106" s="30" t="str">
        <f t="shared" si="148"/>
        <v>15,1903049752469+47,1205178291557i</v>
      </c>
      <c r="BG106" s="68">
        <f t="shared" si="149"/>
        <v>33.8935900399479</v>
      </c>
      <c r="BH106" s="31">
        <f t="shared" si="150"/>
        <v>72.1321655357008</v>
      </c>
      <c r="BI106" s="30" t="str">
        <f t="shared" si="103"/>
        <v>36,2999775020979+291,977595230194i</v>
      </c>
      <c r="BJ106" s="68">
        <f t="shared" si="151"/>
        <v>49.3736041659097</v>
      </c>
      <c r="BK106" s="31">
        <f t="shared" si="104"/>
        <v>82.913092945418</v>
      </c>
      <c r="BL106" s="32">
        <f t="shared" si="152"/>
        <v>33.8935900399479</v>
      </c>
      <c r="BM106" s="31">
        <f t="shared" si="153"/>
        <v>72.1321655357008</v>
      </c>
      <c r="BO106">
        <f t="shared" si="154"/>
        <v>0</v>
      </c>
      <c r="BP106">
        <f t="shared" si="155"/>
        <v>0</v>
      </c>
    </row>
    <row r="107" spans="14:68">
      <c r="N107" s="7">
        <v>89</v>
      </c>
      <c r="O107" s="18">
        <f t="shared" si="117"/>
        <v>77.6247116628692</v>
      </c>
      <c r="P107" s="86" t="str">
        <f t="shared" si="105"/>
        <v>60</v>
      </c>
      <c r="Q107" s="4" t="str">
        <f t="shared" si="106"/>
        <v>1+0,637301118451077i</v>
      </c>
      <c r="R107" s="4">
        <f t="shared" si="118"/>
        <v>1.1858131031402</v>
      </c>
      <c r="S107" s="4">
        <f t="shared" si="119"/>
        <v>0.567396200869499</v>
      </c>
      <c r="T107" s="4" t="str">
        <f t="shared" si="107"/>
        <v>1+0,00764761342141294i</v>
      </c>
      <c r="U107" s="4">
        <f t="shared" si="120"/>
        <v>1.00002924256796</v>
      </c>
      <c r="V107" s="4">
        <f t="shared" si="121"/>
        <v>0.0076474643338946</v>
      </c>
      <c r="W107" t="str">
        <f t="shared" si="108"/>
        <v>1-0,010669103545498i</v>
      </c>
      <c r="X107" s="4">
        <f t="shared" si="122"/>
        <v>1.00005691326567</v>
      </c>
      <c r="Y107" s="4">
        <f t="shared" si="123"/>
        <v>-0.0106686987526082</v>
      </c>
      <c r="Z107" t="str">
        <f t="shared" si="109"/>
        <v>0,999999950811462+0,0028467532259008i</v>
      </c>
      <c r="AA107" s="4">
        <f t="shared" si="124"/>
        <v>1.00000400280542</v>
      </c>
      <c r="AB107" s="4">
        <f t="shared" si="125"/>
        <v>0.00284674567593158</v>
      </c>
      <c r="AC107" s="67" t="str">
        <f t="shared" si="126"/>
        <v>42,5128068660221-27,4455650740042i</v>
      </c>
      <c r="AD107" s="68">
        <f t="shared" si="127"/>
        <v>34.0834136630016</v>
      </c>
      <c r="AE107" s="31">
        <f t="shared" si="128"/>
        <v>-32.8456181152694</v>
      </c>
      <c r="AF107" s="32" t="str">
        <f t="shared" si="129"/>
        <v>326,048966736478</v>
      </c>
      <c r="AG107" s="32" t="str">
        <f t="shared" si="110"/>
        <v>1+0,409693576147122i</v>
      </c>
      <c r="AH107" s="32">
        <f t="shared" si="130"/>
        <v>1.08067054477126</v>
      </c>
      <c r="AI107" s="32">
        <f t="shared" si="131"/>
        <v>0.388834876114357</v>
      </c>
      <c r="AJ107" s="32" t="str">
        <f t="shared" si="111"/>
        <v>1+0,00764761342141294i</v>
      </c>
      <c r="AK107" s="32">
        <f t="shared" si="132"/>
        <v>1.00002924256796</v>
      </c>
      <c r="AL107" s="32">
        <f t="shared" si="133"/>
        <v>0.0076474643338946</v>
      </c>
      <c r="AM107" s="32" t="str">
        <f t="shared" si="112"/>
        <v>1-0,00126212244099524i</v>
      </c>
      <c r="AN107" s="32">
        <f t="shared" si="134"/>
        <v>1.00000079647621</v>
      </c>
      <c r="AO107" s="32">
        <f t="shared" si="135"/>
        <v>-0.00126212177082861</v>
      </c>
      <c r="AP107" s="30" t="str">
        <f t="shared" si="136"/>
        <v>279,920723825683-112,599739645565i</v>
      </c>
      <c r="AQ107" s="32">
        <f t="shared" si="137"/>
        <v>49.592051190874</v>
      </c>
      <c r="AR107" s="31">
        <f t="shared" si="138"/>
        <v>-21.912744149236</v>
      </c>
      <c r="AS107" t="str">
        <f t="shared" si="113"/>
        <v>-0,000100699300699301</v>
      </c>
      <c r="AT107" t="str">
        <f t="shared" si="114"/>
        <v>0,000109593031619355i</v>
      </c>
      <c r="AU107">
        <f t="shared" si="139"/>
        <v>0.000109593031619355</v>
      </c>
      <c r="AV107">
        <f t="shared" si="140"/>
        <v>1.5707963267949</v>
      </c>
      <c r="AW107" t="str">
        <f t="shared" si="115"/>
        <v>1+0,005610962205376i</v>
      </c>
      <c r="AX107">
        <f t="shared" si="141"/>
        <v>1.00001574132454</v>
      </c>
      <c r="AY107">
        <f t="shared" si="142"/>
        <v>0.00561090332337344</v>
      </c>
      <c r="AZ107" t="str">
        <f t="shared" si="116"/>
        <v>1+0,268251746286805i</v>
      </c>
      <c r="BA107">
        <f t="shared" si="143"/>
        <v>1.03535452835535</v>
      </c>
      <c r="BB107">
        <f t="shared" si="144"/>
        <v>0.262081653031902</v>
      </c>
      <c r="BC107" s="30" t="str">
        <f t="shared" si="145"/>
        <v>-0,241319272548386+0,920201693715083i</v>
      </c>
      <c r="BD107" s="32">
        <f t="shared" si="146"/>
        <v>-0.433484702803847</v>
      </c>
      <c r="BE107" s="31">
        <f t="shared" si="147"/>
        <v>104.694691526855</v>
      </c>
      <c r="BF107" s="30" t="str">
        <f t="shared" si="148"/>
        <v>14,9962958391677+45,7435006810338i</v>
      </c>
      <c r="BG107" s="68">
        <f t="shared" si="149"/>
        <v>33.6499289601978</v>
      </c>
      <c r="BH107" s="31">
        <f t="shared" si="150"/>
        <v>71.8490734115855</v>
      </c>
      <c r="BI107" s="30" t="str">
        <f t="shared" si="103"/>
        <v>36,0642056888948+284,756011430751i</v>
      </c>
      <c r="BJ107" s="68">
        <f t="shared" si="151"/>
        <v>49.1585664880702</v>
      </c>
      <c r="BK107" s="31">
        <f t="shared" si="104"/>
        <v>82.7819473776188</v>
      </c>
      <c r="BL107" s="32">
        <f t="shared" si="152"/>
        <v>33.6499289601978</v>
      </c>
      <c r="BM107" s="31">
        <f t="shared" si="153"/>
        <v>71.8490734115855</v>
      </c>
      <c r="BO107">
        <f t="shared" si="154"/>
        <v>0</v>
      </c>
      <c r="BP107">
        <f t="shared" si="155"/>
        <v>0</v>
      </c>
    </row>
    <row r="108" spans="14:68">
      <c r="N108" s="7">
        <v>90</v>
      </c>
      <c r="O108" s="18">
        <f t="shared" si="117"/>
        <v>79.4328234724282</v>
      </c>
      <c r="P108" s="86" t="str">
        <f t="shared" si="105"/>
        <v>60</v>
      </c>
      <c r="Q108" s="4" t="str">
        <f t="shared" si="106"/>
        <v>1+0,652145768483674i</v>
      </c>
      <c r="R108" s="4">
        <f t="shared" si="118"/>
        <v>1.19385681861401</v>
      </c>
      <c r="S108" s="4">
        <f t="shared" si="119"/>
        <v>0.577882190723694</v>
      </c>
      <c r="T108" s="4" t="str">
        <f t="shared" si="107"/>
        <v>1+0,0078257492218041i</v>
      </c>
      <c r="U108" s="4">
        <f t="shared" si="120"/>
        <v>1.00003062070663</v>
      </c>
      <c r="V108" s="4">
        <f t="shared" si="121"/>
        <v>0.00782558947191421</v>
      </c>
      <c r="W108" t="str">
        <f t="shared" si="108"/>
        <v>1-0,0109176188920258i</v>
      </c>
      <c r="X108" s="4">
        <f t="shared" si="122"/>
        <v>1.00005959542533</v>
      </c>
      <c r="Y108" s="4">
        <f t="shared" si="123"/>
        <v>-0.0109171851500258</v>
      </c>
      <c r="Z108" t="str">
        <f t="shared" si="109"/>
        <v>0,999999948493278+0,00291306262681692i</v>
      </c>
      <c r="AA108" s="4">
        <f t="shared" si="124"/>
        <v>1.00000419145143</v>
      </c>
      <c r="AB108" s="4">
        <f t="shared" si="125"/>
        <v>0.00291305453688098</v>
      </c>
      <c r="AC108" s="67" t="str">
        <f t="shared" si="126"/>
        <v>41,9345778739295-27,7077653547378i</v>
      </c>
      <c r="AD108" s="68">
        <f t="shared" si="127"/>
        <v>34.0247273051026</v>
      </c>
      <c r="AE108" s="31">
        <f t="shared" si="128"/>
        <v>-33.4542516990131</v>
      </c>
      <c r="AF108" s="32" t="str">
        <f t="shared" si="129"/>
        <v>326,048966736478</v>
      </c>
      <c r="AG108" s="32" t="str">
        <f t="shared" si="110"/>
        <v>1+0,419236565453791i</v>
      </c>
      <c r="AH108" s="32">
        <f t="shared" si="130"/>
        <v>1.08432435083488</v>
      </c>
      <c r="AI108" s="32">
        <f t="shared" si="131"/>
        <v>0.396978856381617</v>
      </c>
      <c r="AJ108" s="32" t="str">
        <f t="shared" si="111"/>
        <v>1+0,0078257492218041i</v>
      </c>
      <c r="AK108" s="32">
        <f t="shared" si="132"/>
        <v>1.00003062070663</v>
      </c>
      <c r="AL108" s="32">
        <f t="shared" si="133"/>
        <v>0.00782558947191421</v>
      </c>
      <c r="AM108" s="32" t="str">
        <f t="shared" si="112"/>
        <v>1-0,00129152104927071i</v>
      </c>
      <c r="AN108" s="32">
        <f t="shared" si="134"/>
        <v>1.00000083401296</v>
      </c>
      <c r="AO108" s="32">
        <f t="shared" si="135"/>
        <v>-0.00129152033117426</v>
      </c>
      <c r="AP108" s="30" t="str">
        <f t="shared" si="136"/>
        <v>278,071742391671-114,44736388596i</v>
      </c>
      <c r="AQ108" s="32">
        <f t="shared" si="137"/>
        <v>49.5627455551064</v>
      </c>
      <c r="AR108" s="31">
        <f t="shared" si="138"/>
        <v>-22.3708384417855</v>
      </c>
      <c r="AS108" t="str">
        <f t="shared" si="113"/>
        <v>-0,000100699300699301</v>
      </c>
      <c r="AT108" t="str">
        <f t="shared" si="114"/>
        <v>0,000112145781258889i</v>
      </c>
      <c r="AU108">
        <f t="shared" si="139"/>
        <v>0.000112145781258889</v>
      </c>
      <c r="AV108">
        <f t="shared" si="140"/>
        <v>1.5707963267949</v>
      </c>
      <c r="AW108" t="str">
        <f t="shared" si="115"/>
        <v>1+0,00574165830471343i</v>
      </c>
      <c r="AX108">
        <f t="shared" si="141"/>
        <v>1.0000164831842</v>
      </c>
      <c r="AY108">
        <f t="shared" si="142"/>
        <v>0.00574159521156713</v>
      </c>
      <c r="AZ108" t="str">
        <f t="shared" si="116"/>
        <v>1+0,274500132142363i</v>
      </c>
      <c r="BA108">
        <f t="shared" si="143"/>
        <v>1.03699099443832</v>
      </c>
      <c r="BB108">
        <f t="shared" si="144"/>
        <v>0.267901428372634</v>
      </c>
      <c r="BC108" s="30" t="str">
        <f t="shared" si="145"/>
        <v>-0,241318914504356+0,899317704878038i</v>
      </c>
      <c r="BD108" s="32">
        <f t="shared" si="146"/>
        <v>-0.619773195817124</v>
      </c>
      <c r="BE108" s="31">
        <f t="shared" si="147"/>
        <v>105.020651997983</v>
      </c>
      <c r="BF108" s="30" t="str">
        <f t="shared" si="148"/>
        <v>14,798477133387+44,3989161873584i</v>
      </c>
      <c r="BG108" s="68">
        <f t="shared" si="149"/>
        <v>33.4049541092854</v>
      </c>
      <c r="BH108" s="31">
        <f t="shared" si="150"/>
        <v>71.5664002989698</v>
      </c>
      <c r="BI108" s="30" t="str">
        <f t="shared" si="103"/>
        <v>35,8205695909702+277,69315477996i</v>
      </c>
      <c r="BJ108" s="68">
        <f t="shared" si="151"/>
        <v>48.9429723592893</v>
      </c>
      <c r="BK108" s="31">
        <f t="shared" si="104"/>
        <v>82.6498135561975</v>
      </c>
      <c r="BL108" s="32">
        <f t="shared" si="152"/>
        <v>33.4049541092854</v>
      </c>
      <c r="BM108" s="31">
        <f t="shared" si="153"/>
        <v>71.5664002989698</v>
      </c>
      <c r="BO108">
        <f t="shared" si="154"/>
        <v>0</v>
      </c>
      <c r="BP108">
        <f t="shared" si="155"/>
        <v>0</v>
      </c>
    </row>
    <row r="109" spans="14:68">
      <c r="N109" s="7">
        <v>91</v>
      </c>
      <c r="O109" s="18">
        <f t="shared" si="117"/>
        <v>81.28305161641</v>
      </c>
      <c r="P109" s="86" t="str">
        <f t="shared" si="105"/>
        <v>60</v>
      </c>
      <c r="Q109" s="4" t="str">
        <f t="shared" si="106"/>
        <v>1+0,66733619483489i</v>
      </c>
      <c r="R109" s="4">
        <f t="shared" si="118"/>
        <v>1.20222194163004</v>
      </c>
      <c r="S109" s="4">
        <f t="shared" si="119"/>
        <v>0.588465979826176</v>
      </c>
      <c r="T109" s="4" t="str">
        <f t="shared" si="107"/>
        <v>1+0,00800803433801869i</v>
      </c>
      <c r="U109" s="4">
        <f t="shared" si="120"/>
        <v>1.00003206379294</v>
      </c>
      <c r="V109" s="4">
        <f t="shared" si="121"/>
        <v>0.00800786316322409</v>
      </c>
      <c r="W109" t="str">
        <f t="shared" si="108"/>
        <v>1-0,011171922904602i</v>
      </c>
      <c r="X109" s="4">
        <f t="shared" si="122"/>
        <v>1.00006240398356</v>
      </c>
      <c r="Y109" s="4">
        <f t="shared" si="123"/>
        <v>-0.0111714581432418</v>
      </c>
      <c r="Z109" t="str">
        <f t="shared" si="109"/>
        <v>0,999999946065841+0,00298091657209672i</v>
      </c>
      <c r="AA109" s="4">
        <f t="shared" si="124"/>
        <v>1.00000438898802</v>
      </c>
      <c r="AB109" s="4">
        <f t="shared" si="125"/>
        <v>0.00298090790357624</v>
      </c>
      <c r="AC109" s="67" t="str">
        <f t="shared" si="126"/>
        <v>41,3455130759781-27,960058432533i</v>
      </c>
      <c r="AD109" s="68">
        <f t="shared" si="127"/>
        <v>33.9641144014109</v>
      </c>
      <c r="AE109" s="31">
        <f t="shared" si="128"/>
        <v>-34.0686711135064</v>
      </c>
      <c r="AF109" s="32" t="str">
        <f t="shared" si="129"/>
        <v>326,048966736478</v>
      </c>
      <c r="AG109" s="32" t="str">
        <f t="shared" si="110"/>
        <v>1+0,429001839536716i</v>
      </c>
      <c r="AH109" s="32">
        <f t="shared" si="130"/>
        <v>1.0881372056528</v>
      </c>
      <c r="AI109" s="32">
        <f t="shared" si="131"/>
        <v>0.40525535266832</v>
      </c>
      <c r="AJ109" s="32" t="str">
        <f t="shared" si="111"/>
        <v>1+0,00800803433801869i</v>
      </c>
      <c r="AK109" s="32">
        <f t="shared" si="132"/>
        <v>1.00003206379294</v>
      </c>
      <c r="AL109" s="32">
        <f t="shared" si="133"/>
        <v>0.00800786316322409</v>
      </c>
      <c r="AM109" s="32" t="str">
        <f t="shared" si="112"/>
        <v>1-0,0013216044391018i</v>
      </c>
      <c r="AN109" s="32">
        <f t="shared" si="134"/>
        <v>1.00000087331877</v>
      </c>
      <c r="AO109" s="32">
        <f t="shared" si="135"/>
        <v>-0.00132160366964763</v>
      </c>
      <c r="AP109" s="30" t="str">
        <f t="shared" si="136"/>
        <v>276,162100826179-116,293945705057i</v>
      </c>
      <c r="AQ109" s="32">
        <f t="shared" si="137"/>
        <v>49.5322694490554</v>
      </c>
      <c r="AR109" s="31">
        <f t="shared" si="138"/>
        <v>-22.8363268832693</v>
      </c>
      <c r="AS109" t="str">
        <f t="shared" si="113"/>
        <v>-0,000100699300699301</v>
      </c>
      <c r="AT109" t="str">
        <f t="shared" si="114"/>
        <v>0,000114757992076071i</v>
      </c>
      <c r="AU109">
        <f t="shared" si="139"/>
        <v>0.000114757992076071</v>
      </c>
      <c r="AV109">
        <f t="shared" si="140"/>
        <v>1.5707963267949</v>
      </c>
      <c r="AW109" t="str">
        <f t="shared" si="115"/>
        <v>1+0,00587539870728384i</v>
      </c>
      <c r="AX109">
        <f t="shared" si="141"/>
        <v>1.00001726000603</v>
      </c>
      <c r="AY109">
        <f t="shared" si="142"/>
        <v>0.00587533110182257</v>
      </c>
      <c r="AZ109" t="str">
        <f t="shared" si="116"/>
        <v>1+0,280894061601421i</v>
      </c>
      <c r="BA109">
        <f t="shared" si="143"/>
        <v>1.03870182143045</v>
      </c>
      <c r="BB109">
        <f t="shared" si="144"/>
        <v>0.273837573542501</v>
      </c>
      <c r="BC109" s="30" t="str">
        <f t="shared" si="145"/>
        <v>-0,24131853958737+0,878910545998184i</v>
      </c>
      <c r="BD109" s="32">
        <f t="shared" si="146"/>
        <v>-0.805461776458744</v>
      </c>
      <c r="BE109" s="31">
        <f t="shared" si="147"/>
        <v>105.353105560712</v>
      </c>
      <c r="BF109" s="30" t="str">
        <f t="shared" si="148"/>
        <v>14,5969513890932+43,0862879398994i</v>
      </c>
      <c r="BG109" s="68">
        <f t="shared" si="149"/>
        <v>33.1586526249521</v>
      </c>
      <c r="BH109" s="31">
        <f t="shared" si="150"/>
        <v>71.2844344472058</v>
      </c>
      <c r="BI109" s="30" t="str">
        <f t="shared" si="103"/>
        <v>35,5689404551613+270,78566796154i</v>
      </c>
      <c r="BJ109" s="68">
        <f t="shared" si="151"/>
        <v>48.7268076725967</v>
      </c>
      <c r="BK109" s="31">
        <f t="shared" si="104"/>
        <v>82.516778677443</v>
      </c>
      <c r="BL109" s="32">
        <f t="shared" si="152"/>
        <v>33.1586526249521</v>
      </c>
      <c r="BM109" s="31">
        <f t="shared" si="153"/>
        <v>71.2844344472058</v>
      </c>
      <c r="BO109">
        <f t="shared" si="154"/>
        <v>0</v>
      </c>
      <c r="BP109">
        <f t="shared" si="155"/>
        <v>0</v>
      </c>
    </row>
    <row r="110" spans="14:68">
      <c r="N110" s="7">
        <v>92</v>
      </c>
      <c r="O110" s="18">
        <f t="shared" si="117"/>
        <v>83.1763771102671</v>
      </c>
      <c r="P110" s="86" t="str">
        <f t="shared" si="105"/>
        <v>60</v>
      </c>
      <c r="Q110" s="4" t="str">
        <f t="shared" si="106"/>
        <v>1+0,682880451669847i</v>
      </c>
      <c r="R110" s="4">
        <f t="shared" si="118"/>
        <v>1.21091936613171</v>
      </c>
      <c r="S110" s="4">
        <f t="shared" si="119"/>
        <v>0.599143695226928</v>
      </c>
      <c r="T110" s="4" t="str">
        <f t="shared" si="107"/>
        <v>1+0,00819456542003818i</v>
      </c>
      <c r="U110" s="4">
        <f t="shared" si="120"/>
        <v>1.00003357488758</v>
      </c>
      <c r="V110" s="4">
        <f t="shared" si="121"/>
        <v>0.00819438200327378</v>
      </c>
      <c r="W110" t="str">
        <f t="shared" si="108"/>
        <v>1-0,01143215041858i</v>
      </c>
      <c r="X110" s="4">
        <f t="shared" si="122"/>
        <v>1.00006534489662</v>
      </c>
      <c r="Y110" s="4">
        <f t="shared" si="123"/>
        <v>-0.0114316524195676</v>
      </c>
      <c r="Z110" t="str">
        <f t="shared" si="109"/>
        <v>0,999999943524002+0,00305035103880014i</v>
      </c>
      <c r="AA110" s="4">
        <f t="shared" si="124"/>
        <v>1.00000459583417</v>
      </c>
      <c r="AB110" s="4">
        <f t="shared" si="125"/>
        <v>0.0030503417503154</v>
      </c>
      <c r="AC110" s="67" t="str">
        <f t="shared" si="126"/>
        <v>40,7459468960288-28,2019004491031i</v>
      </c>
      <c r="AD110" s="68">
        <f t="shared" si="127"/>
        <v>33.9015397740369</v>
      </c>
      <c r="AE110" s="31">
        <f t="shared" si="128"/>
        <v>-34.6886586987373</v>
      </c>
      <c r="AF110" s="32" t="str">
        <f t="shared" si="129"/>
        <v>326,048966736478</v>
      </c>
      <c r="AG110" s="32" t="str">
        <f t="shared" si="110"/>
        <v>1+0,438994576073474i</v>
      </c>
      <c r="AH110" s="32">
        <f t="shared" si="130"/>
        <v>1.09211548740137</v>
      </c>
      <c r="AI110" s="32">
        <f t="shared" si="131"/>
        <v>0.41366421668511</v>
      </c>
      <c r="AJ110" s="32" t="str">
        <f t="shared" si="111"/>
        <v>1+0,00819456542003818i</v>
      </c>
      <c r="AK110" s="32">
        <f t="shared" si="132"/>
        <v>1.00003357488758</v>
      </c>
      <c r="AL110" s="32">
        <f t="shared" si="133"/>
        <v>0.00819438200327378</v>
      </c>
      <c r="AM110" s="32" t="str">
        <f t="shared" si="112"/>
        <v>1-0,00135238856110001i</v>
      </c>
      <c r="AN110" s="32">
        <f t="shared" si="134"/>
        <v>1.00000091447699</v>
      </c>
      <c r="AO110" s="32">
        <f t="shared" si="135"/>
        <v>-0.00135238773661506</v>
      </c>
      <c r="AP110" s="30" t="str">
        <f t="shared" si="136"/>
        <v>274,190889667474-118,137428677697i</v>
      </c>
      <c r="AQ110" s="32">
        <f t="shared" si="137"/>
        <v>49.5005848124039</v>
      </c>
      <c r="AR110" s="31">
        <f t="shared" si="138"/>
        <v>-23.3091963567098</v>
      </c>
      <c r="AS110" t="str">
        <f t="shared" si="113"/>
        <v>-0,000100699300699301</v>
      </c>
      <c r="AT110" t="str">
        <f t="shared" si="114"/>
        <v>0,000117431049099654i</v>
      </c>
      <c r="AU110">
        <f t="shared" si="139"/>
        <v>0.000117431049099654</v>
      </c>
      <c r="AV110">
        <f t="shared" si="140"/>
        <v>1.5707963267949</v>
      </c>
      <c r="AW110" t="str">
        <f t="shared" si="115"/>
        <v>1+0,00601225432401895i</v>
      </c>
      <c r="AX110">
        <f t="shared" si="141"/>
        <v>1.0000180734377</v>
      </c>
      <c r="AY110">
        <f t="shared" si="142"/>
        <v>0.00601218188353277</v>
      </c>
      <c r="AZ110" t="str">
        <f t="shared" si="116"/>
        <v>1+0,287436924810012i</v>
      </c>
      <c r="BA110">
        <f t="shared" si="143"/>
        <v>1.04049026220539</v>
      </c>
      <c r="BB110">
        <f t="shared" si="144"/>
        <v>0.279891561883425</v>
      </c>
      <c r="BC110" s="30" t="str">
        <f t="shared" si="145"/>
        <v>-0,241318147002337+0,858969396915894i</v>
      </c>
      <c r="BD110" s="32">
        <f t="shared" si="146"/>
        <v>-0.99052630403208</v>
      </c>
      <c r="BE110" s="31">
        <f t="shared" si="147"/>
        <v>105.692132569653</v>
      </c>
      <c r="BF110" s="30" t="str">
        <f t="shared" si="148"/>
        <v>14,3918330178429+41,8051517903708i</v>
      </c>
      <c r="BG110" s="68">
        <f t="shared" si="149"/>
        <v>32.9110134700048</v>
      </c>
      <c r="BH110" s="31">
        <f t="shared" si="150"/>
        <v>71.0034738709161</v>
      </c>
      <c r="BI110" s="30" t="str">
        <f t="shared" si="103"/>
        <v>35,3091984449988+264,030288517625i</v>
      </c>
      <c r="BJ110" s="68">
        <f t="shared" si="151"/>
        <v>48.5100585083718</v>
      </c>
      <c r="BK110" s="31">
        <f t="shared" si="104"/>
        <v>82.3829362129437</v>
      </c>
      <c r="BL110" s="32">
        <f t="shared" si="152"/>
        <v>32.9110134700048</v>
      </c>
      <c r="BM110" s="31">
        <f t="shared" si="153"/>
        <v>71.0034738709161</v>
      </c>
      <c r="BO110">
        <f t="shared" si="154"/>
        <v>0</v>
      </c>
      <c r="BP110">
        <f t="shared" si="155"/>
        <v>0</v>
      </c>
    </row>
    <row r="111" spans="14:68">
      <c r="N111" s="7">
        <v>93</v>
      </c>
      <c r="O111" s="18">
        <f t="shared" si="117"/>
        <v>85.1138038202377</v>
      </c>
      <c r="P111" s="86" t="str">
        <f t="shared" si="105"/>
        <v>60</v>
      </c>
      <c r="Q111" s="4" t="str">
        <f t="shared" si="106"/>
        <v>1+0,698786780759271i</v>
      </c>
      <c r="R111" s="4">
        <f t="shared" si="118"/>
        <v>1.21996023089439</v>
      </c>
      <c r="S111" s="4">
        <f t="shared" si="119"/>
        <v>0.609911259111632</v>
      </c>
      <c r="T111" s="4" t="str">
        <f t="shared" si="107"/>
        <v>1+0,00838544136911126i</v>
      </c>
      <c r="U111" s="4">
        <f t="shared" si="120"/>
        <v>1.00003515719546</v>
      </c>
      <c r="V111" s="4">
        <f t="shared" si="121"/>
        <v>0.00838524483488046</v>
      </c>
      <c r="W111" t="str">
        <f t="shared" si="108"/>
        <v>1-0,0116984394100324i</v>
      </c>
      <c r="X111" s="4">
        <f t="shared" si="122"/>
        <v>1.00006842440137</v>
      </c>
      <c r="Y111" s="4">
        <f t="shared" si="123"/>
        <v>-0.0116979057964485</v>
      </c>
      <c r="Z111" t="str">
        <f t="shared" si="109"/>
        <v>0,999999940862371+0,0031214028420005i</v>
      </c>
      <c r="AA111" s="4">
        <f t="shared" si="124"/>
        <v>1.00000481242864</v>
      </c>
      <c r="AB111" s="4">
        <f t="shared" si="125"/>
        <v>0.00312139288921237</v>
      </c>
      <c r="AC111" s="67" t="str">
        <f t="shared" si="126"/>
        <v>40,1362484335139-28,4327585318043i</v>
      </c>
      <c r="AD111" s="68">
        <f t="shared" si="127"/>
        <v>33.8369694106831</v>
      </c>
      <c r="AE111" s="31">
        <f t="shared" si="128"/>
        <v>-35.3139851554161</v>
      </c>
      <c r="AF111" s="32" t="str">
        <f t="shared" si="129"/>
        <v>326,048966736478</v>
      </c>
      <c r="AG111" s="32" t="str">
        <f t="shared" si="110"/>
        <v>1+0,449220073345246i</v>
      </c>
      <c r="AH111" s="32">
        <f t="shared" si="130"/>
        <v>1.09626578633847</v>
      </c>
      <c r="AI111" s="32">
        <f t="shared" si="131"/>
        <v>0.422205149214344</v>
      </c>
      <c r="AJ111" s="32" t="str">
        <f t="shared" si="111"/>
        <v>1+0,00838544136911126i</v>
      </c>
      <c r="AK111" s="32">
        <f t="shared" si="132"/>
        <v>1.00003515719546</v>
      </c>
      <c r="AL111" s="32">
        <f t="shared" si="133"/>
        <v>0.00838524483488046</v>
      </c>
      <c r="AM111" s="32" t="str">
        <f t="shared" si="112"/>
        <v>1-0,00138388973741429i</v>
      </c>
      <c r="AN111" s="32">
        <f t="shared" si="134"/>
        <v>1.00000095757494</v>
      </c>
      <c r="AO111" s="32">
        <f t="shared" si="135"/>
        <v>-0.00138388885396279</v>
      </c>
      <c r="AP111" s="30" t="str">
        <f t="shared" si="136"/>
        <v>272,157274612603-119,975662187849i</v>
      </c>
      <c r="AQ111" s="32">
        <f t="shared" si="137"/>
        <v>49.467653042411</v>
      </c>
      <c r="AR111" s="31">
        <f t="shared" si="138"/>
        <v>-23.7894249900978</v>
      </c>
      <c r="AS111" t="str">
        <f t="shared" si="113"/>
        <v>-0,000100699300699301</v>
      </c>
      <c r="AT111" t="str">
        <f t="shared" si="114"/>
        <v>0,000120166369619853i</v>
      </c>
      <c r="AU111">
        <f t="shared" si="139"/>
        <v>0.000120166369619853</v>
      </c>
      <c r="AV111">
        <f t="shared" si="140"/>
        <v>1.5707963267949</v>
      </c>
      <c r="AW111" t="str">
        <f t="shared" si="115"/>
        <v>1+0,00615229771757825i</v>
      </c>
      <c r="AX111">
        <f t="shared" si="141"/>
        <v>1.00001892520452</v>
      </c>
      <c r="AY111">
        <f t="shared" si="142"/>
        <v>0.00615222009627816</v>
      </c>
      <c r="AZ111" t="str">
        <f t="shared" si="116"/>
        <v>1+0,294132190880815i</v>
      </c>
      <c r="BA111">
        <f t="shared" si="143"/>
        <v>1.04235970073308</v>
      </c>
      <c r="BB111">
        <f t="shared" si="144"/>
        <v>0.286064827538998</v>
      </c>
      <c r="BC111" s="30" t="str">
        <f t="shared" si="145"/>
        <v>-0,241317735916711+0,839483684555127i</v>
      </c>
      <c r="BD111" s="32">
        <f t="shared" si="146"/>
        <v>-1.17494185320843</v>
      </c>
      <c r="BE111" s="31">
        <f t="shared" si="147"/>
        <v>106.03781103897</v>
      </c>
      <c r="BF111" s="30" t="str">
        <f t="shared" si="148"/>
        <v>14,1832482941791+40,5550546339477i</v>
      </c>
      <c r="BG111" s="68">
        <f t="shared" si="149"/>
        <v>32.6620275574746</v>
      </c>
      <c r="BH111" s="31">
        <f t="shared" si="150"/>
        <v>70.7238258835539</v>
      </c>
      <c r="BI111" s="30" t="str">
        <f t="shared" si="103"/>
        <v>35,0412336276208+257,423846834549i</v>
      </c>
      <c r="BJ111" s="68">
        <f t="shared" si="151"/>
        <v>48.2927111892026</v>
      </c>
      <c r="BK111" s="31">
        <f t="shared" si="104"/>
        <v>82.2483860488721</v>
      </c>
      <c r="BL111" s="32">
        <f t="shared" si="152"/>
        <v>32.6620275574746</v>
      </c>
      <c r="BM111" s="31">
        <f t="shared" si="153"/>
        <v>70.7238258835539</v>
      </c>
      <c r="BO111">
        <f t="shared" si="154"/>
        <v>0</v>
      </c>
      <c r="BP111">
        <f t="shared" si="155"/>
        <v>0</v>
      </c>
    </row>
    <row r="112" spans="14:68">
      <c r="N112" s="7">
        <v>94</v>
      </c>
      <c r="O112" s="18">
        <f t="shared" si="117"/>
        <v>87.0963589956081</v>
      </c>
      <c r="P112" s="86" t="str">
        <f t="shared" si="105"/>
        <v>60</v>
      </c>
      <c r="Q112" s="4" t="str">
        <f t="shared" si="106"/>
        <v>1+0,715063615849389i</v>
      </c>
      <c r="R112" s="4">
        <f t="shared" si="118"/>
        <v>1.22935591864667</v>
      </c>
      <c r="S112" s="4">
        <f t="shared" si="119"/>
        <v>0.620764393470585</v>
      </c>
      <c r="T112" s="4" t="str">
        <f t="shared" si="107"/>
        <v>1+0,00858076339019268i</v>
      </c>
      <c r="U112" s="4">
        <f t="shared" si="120"/>
        <v>1.00003681407254</v>
      </c>
      <c r="V112" s="4">
        <f t="shared" si="121"/>
        <v>0.00858055280038894</v>
      </c>
      <c r="W112" t="str">
        <f t="shared" si="108"/>
        <v>1-0,0119709310689072i</v>
      </c>
      <c r="X112" s="4">
        <f t="shared" si="122"/>
        <v>1.00007164902854</v>
      </c>
      <c r="Y112" s="4">
        <f t="shared" si="123"/>
        <v>-0.0119703592938629</v>
      </c>
      <c r="Z112" t="str">
        <f t="shared" si="109"/>
        <v>0,9999999380753+0,00319410965430434i</v>
      </c>
      <c r="AA112" s="4">
        <f t="shared" si="124"/>
        <v>1.00000503923085</v>
      </c>
      <c r="AB112" s="4">
        <f t="shared" si="125"/>
        <v>0.00319409898970262</v>
      </c>
      <c r="AC112" s="67" t="str">
        <f t="shared" si="126"/>
        <v>39,5168211971995-28,6521133836812i</v>
      </c>
      <c r="AD112" s="68">
        <f t="shared" si="127"/>
        <v>33.7703705789798</v>
      </c>
      <c r="AE112" s="31">
        <f t="shared" si="128"/>
        <v>-35.944409814762</v>
      </c>
      <c r="AF112" s="32" t="str">
        <f t="shared" si="129"/>
        <v>326,048966736478</v>
      </c>
      <c r="AG112" s="32" t="str">
        <f t="shared" si="110"/>
        <v>1+0,459683753046036i</v>
      </c>
      <c r="AH112" s="32">
        <f t="shared" si="130"/>
        <v>1.10059490859012</v>
      </c>
      <c r="AI112" s="32">
        <f t="shared" si="131"/>
        <v>0.430877693407564</v>
      </c>
      <c r="AJ112" s="32" t="str">
        <f t="shared" si="111"/>
        <v>1+0,00858076339019268i</v>
      </c>
      <c r="AK112" s="32">
        <f t="shared" si="132"/>
        <v>1.00003681407254</v>
      </c>
      <c r="AL112" s="32">
        <f t="shared" si="133"/>
        <v>0.00858055280038894</v>
      </c>
      <c r="AM112" s="32" t="str">
        <f t="shared" si="112"/>
        <v>1-0,00141612467038529i</v>
      </c>
      <c r="AN112" s="32">
        <f t="shared" si="134"/>
        <v>1.00000100270404</v>
      </c>
      <c r="AO112" s="32">
        <f t="shared" si="135"/>
        <v>-0.00141612372375</v>
      </c>
      <c r="AP112" s="30" t="str">
        <f t="shared" si="136"/>
        <v>270,060504192019-121,806403064859i</v>
      </c>
      <c r="AQ112" s="32">
        <f t="shared" si="137"/>
        <v>49.4334350431907</v>
      </c>
      <c r="AR112" s="31">
        <f t="shared" si="138"/>
        <v>-24.2769817698731</v>
      </c>
      <c r="AS112" t="str">
        <f t="shared" si="113"/>
        <v>-0,000100699300699301</v>
      </c>
      <c r="AT112" t="str">
        <f t="shared" si="114"/>
        <v>0,000122965403939815i</v>
      </c>
      <c r="AU112">
        <f t="shared" si="139"/>
        <v>0.000122965403939815</v>
      </c>
      <c r="AV112">
        <f t="shared" si="140"/>
        <v>1.5707963267949</v>
      </c>
      <c r="AW112" t="str">
        <f t="shared" si="115"/>
        <v>1+0,0062956031408227i</v>
      </c>
      <c r="AX112">
        <f t="shared" si="141"/>
        <v>1.00001981711309</v>
      </c>
      <c r="AY112">
        <f t="shared" si="142"/>
        <v>0.00629551996819018</v>
      </c>
      <c r="AZ112" t="str">
        <f t="shared" si="116"/>
        <v>1+0,300983409732523i</v>
      </c>
      <c r="BA112">
        <f t="shared" si="143"/>
        <v>1.04431365639554</v>
      </c>
      <c r="BB112">
        <f t="shared" si="144"/>
        <v>0.292358760867851</v>
      </c>
      <c r="BC112" s="30" t="str">
        <f t="shared" si="145"/>
        <v>-0,241317305458718+0,820443077317347i</v>
      </c>
      <c r="BD112" s="32">
        <f t="shared" si="146"/>
        <v>-1.35868270507544</v>
      </c>
      <c r="BE112" s="31">
        <f t="shared" si="147"/>
        <v>106.390216377385</v>
      </c>
      <c r="BF112" s="30" t="str">
        <f t="shared" si="148"/>
        <v>13,9713352645508+39,3355531862773i</v>
      </c>
      <c r="BG112" s="68">
        <f t="shared" si="149"/>
        <v>32.4116878739043</v>
      </c>
      <c r="BH112" s="31">
        <f t="shared" si="150"/>
        <v>70.4458065626228</v>
      </c>
      <c r="BI112" s="30" t="str">
        <f t="shared" si="103"/>
        <v>34,7649469850492+250,963264096405i</v>
      </c>
      <c r="BJ112" s="68">
        <f t="shared" si="151"/>
        <v>48.0747523381153</v>
      </c>
      <c r="BK112" s="31">
        <f t="shared" si="104"/>
        <v>82.1132346075117</v>
      </c>
      <c r="BL112" s="32">
        <f t="shared" si="152"/>
        <v>32.4116878739043</v>
      </c>
      <c r="BM112" s="31">
        <f t="shared" si="153"/>
        <v>70.4458065626228</v>
      </c>
      <c r="BO112">
        <f t="shared" si="154"/>
        <v>0</v>
      </c>
      <c r="BP112">
        <f t="shared" si="155"/>
        <v>0</v>
      </c>
    </row>
    <row r="113" spans="14:68">
      <c r="N113" s="7">
        <v>95</v>
      </c>
      <c r="O113" s="18">
        <f t="shared" si="117"/>
        <v>89.1250938133746</v>
      </c>
      <c r="P113" s="86" t="str">
        <f t="shared" si="105"/>
        <v>60</v>
      </c>
      <c r="Q113" s="4" t="str">
        <f t="shared" si="106"/>
        <v>1+0,731719587133618i</v>
      </c>
      <c r="R113" s="4">
        <f t="shared" si="118"/>
        <v>1.23911805498709</v>
      </c>
      <c r="S113" s="4">
        <f t="shared" si="119"/>
        <v>0.631698625757413</v>
      </c>
      <c r="T113" s="4" t="str">
        <f t="shared" si="107"/>
        <v>1+0,00878063504560343i</v>
      </c>
      <c r="U113" s="4">
        <f t="shared" si="120"/>
        <v>1.00003854903289</v>
      </c>
      <c r="V113" s="4">
        <f t="shared" si="121"/>
        <v>0.00878040939503301</v>
      </c>
      <c r="W113" t="str">
        <f t="shared" si="108"/>
        <v>1-0,0122497698738887i</v>
      </c>
      <c r="X113" s="4">
        <f t="shared" si="122"/>
        <v>1.00007502561656</v>
      </c>
      <c r="Y113" s="4">
        <f t="shared" si="123"/>
        <v>-0.0122491572083729</v>
      </c>
      <c r="Z113" t="str">
        <f t="shared" si="109"/>
        <v>0,999999935156879+0,00326851002582594i</v>
      </c>
      <c r="AA113" s="4">
        <f t="shared" si="124"/>
        <v>1.00000527672185</v>
      </c>
      <c r="AB113" s="4">
        <f t="shared" si="125"/>
        <v>0.00326849859850257</v>
      </c>
      <c r="AC113" s="67" t="str">
        <f t="shared" si="126"/>
        <v>38,8881026151706-28,8594618950271i</v>
      </c>
      <c r="AD113" s="68">
        <f t="shared" si="127"/>
        <v>33.7017119395813</v>
      </c>
      <c r="AE113" s="31">
        <f t="shared" si="128"/>
        <v>-36.579680965052</v>
      </c>
      <c r="AF113" s="32" t="str">
        <f t="shared" si="129"/>
        <v>326,048966736478</v>
      </c>
      <c r="AG113" s="32" t="str">
        <f t="shared" si="110"/>
        <v>1+0,470391163157327i</v>
      </c>
      <c r="AH113" s="32">
        <f t="shared" si="130"/>
        <v>1.10510987977509</v>
      </c>
      <c r="AI113" s="32">
        <f t="shared" si="131"/>
        <v>0.439681228221874</v>
      </c>
      <c r="AJ113" s="32" t="str">
        <f t="shared" si="111"/>
        <v>1+0,00878063504560343i</v>
      </c>
      <c r="AK113" s="32">
        <f t="shared" si="132"/>
        <v>1.00003854903289</v>
      </c>
      <c r="AL113" s="32">
        <f t="shared" si="133"/>
        <v>0.00878040939503301</v>
      </c>
      <c r="AM113" s="32" t="str">
        <f t="shared" si="112"/>
        <v>1-0,00144911045140117i</v>
      </c>
      <c r="AN113" s="32">
        <f t="shared" si="134"/>
        <v>1.00000104996</v>
      </c>
      <c r="AO113" s="32">
        <f t="shared" si="135"/>
        <v>-0.00144910943706324</v>
      </c>
      <c r="AP113" s="30" t="str">
        <f t="shared" si="136"/>
        <v>267,89991758921-123,627317825998i</v>
      </c>
      <c r="AQ113" s="32">
        <f t="shared" si="137"/>
        <v>49.3978912798232</v>
      </c>
      <c r="AR113" s="31">
        <f t="shared" si="138"/>
        <v>-24.7718261623056</v>
      </c>
      <c r="AS113" t="str">
        <f t="shared" si="113"/>
        <v>-0,000100699300699301</v>
      </c>
      <c r="AT113" t="str">
        <f t="shared" si="114"/>
        <v>0,000125829636144585i</v>
      </c>
      <c r="AU113">
        <f t="shared" si="139"/>
        <v>0.000125829636144585</v>
      </c>
      <c r="AV113">
        <f t="shared" si="140"/>
        <v>1.5707963267949</v>
      </c>
      <c r="AW113" t="str">
        <f t="shared" si="115"/>
        <v>1+0,00644224657618459i</v>
      </c>
      <c r="AX113">
        <f t="shared" si="141"/>
        <v>1.00002075105517</v>
      </c>
      <c r="AY113">
        <f t="shared" si="142"/>
        <v>0.00644215745520305</v>
      </c>
      <c r="AZ113" t="str">
        <f t="shared" si="116"/>
        <v>1+0,307994213972059i</v>
      </c>
      <c r="BA113">
        <f t="shared" si="143"/>
        <v>1.04635578836277</v>
      </c>
      <c r="BB113">
        <f t="shared" si="144"/>
        <v>0.298774703643499</v>
      </c>
      <c r="BC113" s="30" t="str">
        <f t="shared" si="145"/>
        <v>-0,241316854715512+0,801837479603517i</v>
      </c>
      <c r="BD113" s="32">
        <f t="shared" si="146"/>
        <v>-1.54172233970254</v>
      </c>
      <c r="BE113" s="31">
        <f t="shared" si="147"/>
        <v>106.749421110903</v>
      </c>
      <c r="BF113" s="30" t="str">
        <f t="shared" si="148"/>
        <v>13,7562435796752+38,1462127608014i</v>
      </c>
      <c r="BG113" s="68">
        <f t="shared" si="149"/>
        <v>32.1599895998787</v>
      </c>
      <c r="BH113" s="31">
        <f t="shared" si="150"/>
        <v>70.1697401458506</v>
      </c>
      <c r="BI113" s="30" t="str">
        <f t="shared" si="103"/>
        <v>34,4802514445682+244,645550200407i</v>
      </c>
      <c r="BJ113" s="68">
        <f t="shared" si="151"/>
        <v>47.8561689401207</v>
      </c>
      <c r="BK113" s="31">
        <f t="shared" si="104"/>
        <v>81.977594948597</v>
      </c>
      <c r="BL113" s="32">
        <f t="shared" si="152"/>
        <v>32.1599895998787</v>
      </c>
      <c r="BM113" s="31">
        <f t="shared" si="153"/>
        <v>70.1697401458506</v>
      </c>
      <c r="BO113">
        <f t="shared" si="154"/>
        <v>0</v>
      </c>
      <c r="BP113">
        <f t="shared" si="155"/>
        <v>0</v>
      </c>
    </row>
    <row r="114" spans="14:68">
      <c r="N114" s="7">
        <v>96</v>
      </c>
      <c r="O114" s="18">
        <f t="shared" si="117"/>
        <v>91.201083935591</v>
      </c>
      <c r="P114" s="86" t="str">
        <f t="shared" si="105"/>
        <v>60</v>
      </c>
      <c r="Q114" s="4" t="str">
        <f t="shared" si="106"/>
        <v>1+0,748763525828398i</v>
      </c>
      <c r="R114" s="4">
        <f t="shared" si="118"/>
        <v>1.24925850711971</v>
      </c>
      <c r="S114" s="4">
        <f t="shared" si="119"/>
        <v>0.642709295541657</v>
      </c>
      <c r="T114" s="4" t="str">
        <f t="shared" si="107"/>
        <v>1+0,00898516230994079i</v>
      </c>
      <c r="U114" s="4">
        <f t="shared" si="120"/>
        <v>1.00004036575617</v>
      </c>
      <c r="V114" s="4">
        <f t="shared" si="121"/>
        <v>0.00898492052152546</v>
      </c>
      <c r="W114" t="str">
        <f t="shared" si="108"/>
        <v>1-0,0125351036690022i</v>
      </c>
      <c r="X114" s="4">
        <f t="shared" si="122"/>
        <v>1.00007856132606</v>
      </c>
      <c r="Y114" s="4">
        <f t="shared" si="123"/>
        <v>-0.0125344471888595</v>
      </c>
      <c r="Z114" t="str">
        <f t="shared" si="109"/>
        <v>0,999999932100917+0,00334464340462707i</v>
      </c>
      <c r="AA114" s="4">
        <f t="shared" si="124"/>
        <v>1.00000552540541</v>
      </c>
      <c r="AB114" s="4">
        <f t="shared" si="125"/>
        <v>0.00334463116003313</v>
      </c>
      <c r="AC114" s="67" t="str">
        <f t="shared" si="126"/>
        <v>38,2505633148268-29,0543197546536i</v>
      </c>
      <c r="AD114" s="68">
        <f t="shared" si="127"/>
        <v>33.6309636572733</v>
      </c>
      <c r="AE114" s="31">
        <f t="shared" si="128"/>
        <v>-37.2195362351684</v>
      </c>
      <c r="AF114" s="32" t="str">
        <f t="shared" si="129"/>
        <v>326,048966736478</v>
      </c>
      <c r="AG114" s="32" t="str">
        <f t="shared" si="110"/>
        <v>1+0,481347980889685i</v>
      </c>
      <c r="AH114" s="32">
        <f t="shared" si="130"/>
        <v>1.10981794845217</v>
      </c>
      <c r="AI114" s="32">
        <f t="shared" si="131"/>
        <v>0.448614962040033</v>
      </c>
      <c r="AJ114" s="32" t="str">
        <f t="shared" si="111"/>
        <v>1+0,00898516230994079i</v>
      </c>
      <c r="AK114" s="32">
        <f t="shared" si="132"/>
        <v>1.00004036575617</v>
      </c>
      <c r="AL114" s="32">
        <f t="shared" si="133"/>
        <v>0.00898492052152546</v>
      </c>
      <c r="AM114" s="32" t="str">
        <f t="shared" si="112"/>
        <v>1-0,00148286456995961i</v>
      </c>
      <c r="AN114" s="32">
        <f t="shared" si="134"/>
        <v>1.00000109944306</v>
      </c>
      <c r="AO114" s="32">
        <f t="shared" si="135"/>
        <v>-0.001482863483077</v>
      </c>
      <c r="AP114" s="30" t="str">
        <f t="shared" si="136"/>
        <v>265,674952559912-125,435985561406i</v>
      </c>
      <c r="AQ114" s="32">
        <f t="shared" si="137"/>
        <v>49.3609818373758</v>
      </c>
      <c r="AR114" s="31">
        <f t="shared" si="138"/>
        <v>-25.273907745346</v>
      </c>
      <c r="AS114" t="str">
        <f t="shared" si="113"/>
        <v>-0,000100699300699301</v>
      </c>
      <c r="AT114" t="str">
        <f t="shared" si="114"/>
        <v>0,000128760584887991i</v>
      </c>
      <c r="AU114">
        <f t="shared" si="139"/>
        <v>0.000128760584887991</v>
      </c>
      <c r="AV114">
        <f t="shared" si="140"/>
        <v>1.5707963267949</v>
      </c>
      <c r="AW114" t="str">
        <f t="shared" si="115"/>
        <v>1+0,00659230577595437i</v>
      </c>
      <c r="AX114">
        <f t="shared" si="141"/>
        <v>1.00002172901165</v>
      </c>
      <c r="AY114">
        <f t="shared" si="142"/>
        <v>0.00659221028121422</v>
      </c>
      <c r="AZ114" t="str">
        <f t="shared" si="116"/>
        <v>1+0,315168320820627i</v>
      </c>
      <c r="BA114">
        <f t="shared" si="143"/>
        <v>1.04848990002236</v>
      </c>
      <c r="BB114">
        <f t="shared" si="144"/>
        <v>0.305313944041599</v>
      </c>
      <c r="BC114" s="30" t="str">
        <f t="shared" si="145"/>
        <v>-0,241316382731237+0,783657026461184i</v>
      </c>
      <c r="BD114" s="32">
        <f t="shared" si="146"/>
        <v>-1.72403343039218</v>
      </c>
      <c r="BE114" s="31">
        <f t="shared" si="147"/>
        <v>107.115494593301</v>
      </c>
      <c r="BF114" s="30" t="str">
        <f t="shared" si="148"/>
        <v>13,5381342482181+36,9866060536721i</v>
      </c>
      <c r="BG114" s="68">
        <f t="shared" si="149"/>
        <v>31.9069302268811</v>
      </c>
      <c r="BH114" s="31">
        <f t="shared" si="150"/>
        <v>69.8959583581323</v>
      </c>
      <c r="BI114" s="30" t="str">
        <f t="shared" ref="BI114:BI177" si="156">IMPRODUCT(AP114,BC114)</f>
        <v>34,1870729222285+238,467801628323i</v>
      </c>
      <c r="BJ114" s="68">
        <f t="shared" si="151"/>
        <v>47.6369484069836</v>
      </c>
      <c r="BK114" s="31">
        <f t="shared" ref="BK114:BK177" si="157">(180/PI())*IMARGUMENT(BI114)</f>
        <v>81.8415868479547</v>
      </c>
      <c r="BL114" s="32">
        <f t="shared" si="152"/>
        <v>31.9069302268811</v>
      </c>
      <c r="BM114" s="31">
        <f t="shared" si="153"/>
        <v>69.8959583581323</v>
      </c>
      <c r="BO114">
        <f t="shared" si="154"/>
        <v>0</v>
      </c>
      <c r="BP114">
        <f t="shared" si="155"/>
        <v>0</v>
      </c>
    </row>
    <row r="115" spans="14:68">
      <c r="N115" s="7">
        <v>97</v>
      </c>
      <c r="O115" s="18">
        <f t="shared" si="117"/>
        <v>93.3254300796992</v>
      </c>
      <c r="P115" s="86" t="str">
        <f t="shared" si="105"/>
        <v>60</v>
      </c>
      <c r="Q115" s="4" t="str">
        <f t="shared" si="106"/>
        <v>1+0,766204468855629i</v>
      </c>
      <c r="R115" s="4">
        <f t="shared" si="118"/>
        <v>1.25978938243436</v>
      </c>
      <c r="S115" s="4">
        <f t="shared" si="119"/>
        <v>0.653791562150801</v>
      </c>
      <c r="T115" s="4" t="str">
        <f t="shared" si="107"/>
        <v>1+0,00919445362626756i</v>
      </c>
      <c r="U115" s="4">
        <f t="shared" si="120"/>
        <v>1.00004226809545</v>
      </c>
      <c r="V115" s="4">
        <f t="shared" si="121"/>
        <v>0.00919419454590416</v>
      </c>
      <c r="W115" t="str">
        <f t="shared" si="108"/>
        <v>1-0,0128270837420027i</v>
      </c>
      <c r="X115" s="4">
        <f t="shared" si="122"/>
        <v>1.00008226365501</v>
      </c>
      <c r="Y115" s="4">
        <f t="shared" si="123"/>
        <v>-0.0128263803139814</v>
      </c>
      <c r="Z115" t="str">
        <f t="shared" si="109"/>
        <v>0,999999928900931+0,00342255015763292i</v>
      </c>
      <c r="AA115" s="4">
        <f t="shared" si="124"/>
        <v>1.00000578580899</v>
      </c>
      <c r="AB115" s="4">
        <f t="shared" si="125"/>
        <v>0.00342253703731823</v>
      </c>
      <c r="AC115" s="67" t="str">
        <f t="shared" si="126"/>
        <v>37,6047061690432-29,2362240379294i</v>
      </c>
      <c r="AD115" s="68">
        <f t="shared" si="127"/>
        <v>33.5580975093245</v>
      </c>
      <c r="AE115" s="31">
        <f t="shared" si="128"/>
        <v>-37.8637030348899</v>
      </c>
      <c r="AF115" s="32" t="str">
        <f t="shared" si="129"/>
        <v>326,048966736478</v>
      </c>
      <c r="AG115" s="32" t="str">
        <f t="shared" si="110"/>
        <v>1+0,492560015692905i</v>
      </c>
      <c r="AH115" s="32">
        <f t="shared" si="130"/>
        <v>1.1147265893749</v>
      </c>
      <c r="AI115" s="32">
        <f t="shared" si="131"/>
        <v>0.457677926521588</v>
      </c>
      <c r="AJ115" s="32" t="str">
        <f t="shared" si="111"/>
        <v>1+0,00919445362626756i</v>
      </c>
      <c r="AK115" s="32">
        <f t="shared" si="132"/>
        <v>1.00004226809545</v>
      </c>
      <c r="AL115" s="32">
        <f t="shared" si="133"/>
        <v>0.00919419454590416</v>
      </c>
      <c r="AM115" s="32" t="str">
        <f t="shared" si="112"/>
        <v>1-0,00151740492294109i</v>
      </c>
      <c r="AN115" s="32">
        <f t="shared" si="134"/>
        <v>1.00000115125819</v>
      </c>
      <c r="AO115" s="32">
        <f t="shared" si="135"/>
        <v>-0.00151740375832547</v>
      </c>
      <c r="AP115" s="30" t="str">
        <f t="shared" si="136"/>
        <v>263,385153400017-127,229901494685i</v>
      </c>
      <c r="AQ115" s="32">
        <f t="shared" si="137"/>
        <v>49.3226664848795</v>
      </c>
      <c r="AR115" s="31">
        <f t="shared" si="138"/>
        <v>-25.7831658536523</v>
      </c>
      <c r="AS115" t="str">
        <f t="shared" si="113"/>
        <v>-0,000100699300699301</v>
      </c>
      <c r="AT115" t="str">
        <f t="shared" si="114"/>
        <v>0,000131759804197852i</v>
      </c>
      <c r="AU115">
        <f t="shared" si="139"/>
        <v>0.000131759804197852</v>
      </c>
      <c r="AV115">
        <f t="shared" si="140"/>
        <v>1.5707963267949</v>
      </c>
      <c r="AW115" t="str">
        <f t="shared" si="115"/>
        <v>1+0,00674586030350605i</v>
      </c>
      <c r="AX115">
        <f t="shared" si="141"/>
        <v>1.00002275305677</v>
      </c>
      <c r="AY115">
        <f t="shared" si="142"/>
        <v>0.00674575797917417</v>
      </c>
      <c r="AZ115" t="str">
        <f t="shared" si="116"/>
        <v>1+0,32250953408464i</v>
      </c>
      <c r="BA115">
        <f t="shared" si="143"/>
        <v>1.05071994345567</v>
      </c>
      <c r="BB115">
        <f t="shared" si="144"/>
        <v>0.311977711416962</v>
      </c>
      <c r="BC115" s="30" t="str">
        <f t="shared" si="145"/>
        <v>-0,241315888505007+0,765892078353868i</v>
      </c>
      <c r="BD115" s="32">
        <f t="shared" si="146"/>
        <v>-1.90558783979217</v>
      </c>
      <c r="BE115" s="31">
        <f t="shared" si="147"/>
        <v>107.488502704519</v>
      </c>
      <c r="BF115" s="30" t="str">
        <f t="shared" si="148"/>
        <v>13,3171793104767+35,8563119439394i</v>
      </c>
      <c r="BG115" s="68">
        <f t="shared" si="149"/>
        <v>31.6525096695324</v>
      </c>
      <c r="BH115" s="31">
        <f t="shared" si="150"/>
        <v>69.6247996696289</v>
      </c>
      <c r="BI115" s="30" t="str">
        <f t="shared" si="156"/>
        <v>33,8853513727695+232,427199268686i</v>
      </c>
      <c r="BJ115" s="68">
        <f t="shared" si="151"/>
        <v>47.4170786450873</v>
      </c>
      <c r="BK115" s="31">
        <f t="shared" si="157"/>
        <v>81.7053368508665</v>
      </c>
      <c r="BL115" s="32">
        <f t="shared" si="152"/>
        <v>31.6525096695324</v>
      </c>
      <c r="BM115" s="31">
        <f t="shared" si="153"/>
        <v>69.6247996696289</v>
      </c>
      <c r="BO115">
        <f t="shared" si="154"/>
        <v>0</v>
      </c>
      <c r="BP115">
        <f t="shared" si="155"/>
        <v>0</v>
      </c>
    </row>
    <row r="116" spans="14:68">
      <c r="N116" s="7">
        <v>98</v>
      </c>
      <c r="O116" s="18">
        <f t="shared" si="117"/>
        <v>95.4992586021437</v>
      </c>
      <c r="P116" s="86" t="str">
        <f t="shared" si="105"/>
        <v>60</v>
      </c>
      <c r="Q116" s="4" t="str">
        <f t="shared" si="106"/>
        <v>1+0,784051663634163i</v>
      </c>
      <c r="R116" s="4">
        <f t="shared" si="118"/>
        <v>1.27072302696044</v>
      </c>
      <c r="S116" s="4">
        <f t="shared" si="119"/>
        <v>0.664940413288393</v>
      </c>
      <c r="T116" s="4" t="str">
        <f t="shared" si="107"/>
        <v>1+0,00940861996360996i</v>
      </c>
      <c r="U116" s="4">
        <f t="shared" si="120"/>
        <v>1.00004426008533</v>
      </c>
      <c r="V116" s="4">
        <f t="shared" si="121"/>
        <v>0.00940834235466254</v>
      </c>
      <c r="W116" t="str">
        <f t="shared" si="108"/>
        <v>1-0,0131258649045898i</v>
      </c>
      <c r="X116" s="4">
        <f t="shared" si="122"/>
        <v>1.00008614045466</v>
      </c>
      <c r="Y116" s="4">
        <f t="shared" si="123"/>
        <v>-0.0131251111713914</v>
      </c>
      <c r="Z116" t="str">
        <f t="shared" si="109"/>
        <v>0,999999925550136+0,00350227159203516i</v>
      </c>
      <c r="AA116" s="4">
        <f t="shared" si="124"/>
        <v>1.00000605848494</v>
      </c>
      <c r="AB116" s="4">
        <f t="shared" si="125"/>
        <v>0.00350225753336928</v>
      </c>
      <c r="AC116" s="67" t="str">
        <f t="shared" si="126"/>
        <v>36,951065107212-29,4047357478031i</v>
      </c>
      <c r="AD116" s="68">
        <f t="shared" si="127"/>
        <v>33.4830869903082</v>
      </c>
      <c r="AE116" s="31">
        <f t="shared" si="128"/>
        <v>-38.511899051164</v>
      </c>
      <c r="AF116" s="32" t="str">
        <f t="shared" si="129"/>
        <v>326,048966736478</v>
      </c>
      <c r="AG116" s="32" t="str">
        <f t="shared" si="110"/>
        <v>1+0,504033212336248i</v>
      </c>
      <c r="AH116" s="32">
        <f t="shared" si="130"/>
        <v>1.11984350653919</v>
      </c>
      <c r="AI116" s="32">
        <f t="shared" si="131"/>
        <v>0.466868970734554</v>
      </c>
      <c r="AJ116" s="32" t="str">
        <f t="shared" si="111"/>
        <v>1+0,00940861996360996i</v>
      </c>
      <c r="AK116" s="32">
        <f t="shared" si="132"/>
        <v>1.00004426008533</v>
      </c>
      <c r="AL116" s="32">
        <f t="shared" si="133"/>
        <v>0.00940834235466254</v>
      </c>
      <c r="AM116" s="32" t="str">
        <f t="shared" si="112"/>
        <v>1-0,00155274982409793i</v>
      </c>
      <c r="AN116" s="32">
        <f t="shared" si="134"/>
        <v>1.00000120551528</v>
      </c>
      <c r="AO116" s="32">
        <f t="shared" si="135"/>
        <v>-0.00155274857618989</v>
      </c>
      <c r="AP116" s="30" t="str">
        <f t="shared" si="136"/>
        <v>261,03017890578-129,006481248782i</v>
      </c>
      <c r="AQ116" s="32">
        <f t="shared" si="137"/>
        <v>49.2829047442744</v>
      </c>
      <c r="AR116" s="31">
        <f t="shared" si="138"/>
        <v>-26.299529239631</v>
      </c>
      <c r="AS116" t="str">
        <f t="shared" si="113"/>
        <v>-0,000100699300699301</v>
      </c>
      <c r="AT116" t="str">
        <f t="shared" si="114"/>
        <v>0,000134828884299946i</v>
      </c>
      <c r="AU116">
        <f t="shared" si="139"/>
        <v>0.000134828884299946</v>
      </c>
      <c r="AV116">
        <f t="shared" si="140"/>
        <v>1.5707963267949</v>
      </c>
      <c r="AW116" t="str">
        <f t="shared" si="115"/>
        <v>1+0,00690299157548266i</v>
      </c>
      <c r="AX116">
        <f t="shared" si="141"/>
        <v>1.00002382536252</v>
      </c>
      <c r="AY116">
        <f t="shared" si="142"/>
        <v>0.00690288193312673</v>
      </c>
      <c r="AZ116" t="str">
        <f t="shared" si="116"/>
        <v>1+0,330021746172543i</v>
      </c>
      <c r="BA116">
        <f t="shared" si="143"/>
        <v>1.0530500239527</v>
      </c>
      <c r="BB116">
        <f t="shared" si="144"/>
        <v>0.318767170874077</v>
      </c>
      <c r="BC116" s="30" t="str">
        <f t="shared" si="145"/>
        <v>-0,241315370988783+0,748533216049953i</v>
      </c>
      <c r="BD116" s="32">
        <f t="shared" si="146"/>
        <v>-2.08635661805236</v>
      </c>
      <c r="BE116" s="31">
        <f t="shared" si="147"/>
        <v>107.868507537165</v>
      </c>
      <c r="BF116" s="30" t="str">
        <f t="shared" si="148"/>
        <v>13,0935614316245+34,7549143169808i</v>
      </c>
      <c r="BG116" s="68">
        <f t="shared" si="149"/>
        <v>31.3967303722558</v>
      </c>
      <c r="BH116" s="31">
        <f t="shared" si="150"/>
        <v>69.3566084860009</v>
      </c>
      <c r="BI116" s="30" t="str">
        <f t="shared" si="156"/>
        <v>33,575041838522+226,521006184945i</v>
      </c>
      <c r="BJ116" s="68">
        <f t="shared" si="151"/>
        <v>47.196548126222</v>
      </c>
      <c r="BK116" s="31">
        <f t="shared" si="157"/>
        <v>81.5689782975339</v>
      </c>
      <c r="BL116" s="32">
        <f t="shared" si="152"/>
        <v>31.3967303722558</v>
      </c>
      <c r="BM116" s="31">
        <f t="shared" si="153"/>
        <v>69.3566084860009</v>
      </c>
      <c r="BO116">
        <f t="shared" si="154"/>
        <v>0</v>
      </c>
      <c r="BP116">
        <f t="shared" si="155"/>
        <v>0</v>
      </c>
    </row>
    <row r="117" spans="14:68">
      <c r="N117" s="7">
        <v>99</v>
      </c>
      <c r="O117" s="18">
        <f t="shared" si="117"/>
        <v>97.7237220955811</v>
      </c>
      <c r="P117" s="86" t="str">
        <f t="shared" si="105"/>
        <v>60</v>
      </c>
      <c r="Q117" s="4" t="str">
        <f t="shared" si="106"/>
        <v>1+0,802314572982905i</v>
      </c>
      <c r="R117" s="4">
        <f t="shared" si="118"/>
        <v>1.28207202372595</v>
      </c>
      <c r="S117" s="4">
        <f t="shared" si="119"/>
        <v>0.676150674605767</v>
      </c>
      <c r="T117" s="4" t="str">
        <f t="shared" si="107"/>
        <v>1+0,00962777487579487i</v>
      </c>
      <c r="U117" s="4">
        <f t="shared" si="120"/>
        <v>1.00004634595056</v>
      </c>
      <c r="V117" s="4">
        <f t="shared" si="121"/>
        <v>0.00962747741319295</v>
      </c>
      <c r="W117" t="str">
        <f t="shared" si="108"/>
        <v>1-0,0134316055744906i</v>
      </c>
      <c r="X117" s="4">
        <f t="shared" si="122"/>
        <v>1.00009019994614</v>
      </c>
      <c r="Y117" s="4">
        <f t="shared" si="123"/>
        <v>-0.0134307979387516</v>
      </c>
      <c r="Z117" t="str">
        <f t="shared" si="109"/>
        <v>0,999999922041422+0,00358384997719353i</v>
      </c>
      <c r="AA117" s="4">
        <f t="shared" si="124"/>
        <v>1.00000634401163</v>
      </c>
      <c r="AB117" s="4">
        <f t="shared" si="125"/>
        <v>0.00358383491306679</v>
      </c>
      <c r="AC117" s="67" t="str">
        <f t="shared" si="126"/>
        <v>36,2902036925925-29,5594422844936i</v>
      </c>
      <c r="AD117" s="68">
        <f t="shared" si="127"/>
        <v>33.4059074126183</v>
      </c>
      <c r="AE117" s="31">
        <f t="shared" si="128"/>
        <v>-39.1638327990742</v>
      </c>
      <c r="AF117" s="32" t="str">
        <f t="shared" si="129"/>
        <v>326,048966736478</v>
      </c>
      <c r="AG117" s="32" t="str">
        <f t="shared" si="110"/>
        <v>1+0,515773654060439i</v>
      </c>
      <c r="AH117" s="32">
        <f t="shared" si="130"/>
        <v>1.12517663601003</v>
      </c>
      <c r="AI117" s="32">
        <f t="shared" si="131"/>
        <v>0.476186755619236</v>
      </c>
      <c r="AJ117" s="32" t="str">
        <f t="shared" si="111"/>
        <v>1+0,00962777487579487i</v>
      </c>
      <c r="AK117" s="32">
        <f t="shared" si="132"/>
        <v>1.00004634595056</v>
      </c>
      <c r="AL117" s="32">
        <f t="shared" si="133"/>
        <v>0.00962747741319295</v>
      </c>
      <c r="AM117" s="32" t="str">
        <f t="shared" si="112"/>
        <v>1-0,00158891801376459i</v>
      </c>
      <c r="AN117" s="32">
        <f t="shared" si="134"/>
        <v>1.00000126232943</v>
      </c>
      <c r="AO117" s="32">
        <f t="shared" si="135"/>
        <v>-0.00158891667660712</v>
      </c>
      <c r="AP117" s="30" t="str">
        <f t="shared" si="136"/>
        <v>258,609810264683-130,763065842485i</v>
      </c>
      <c r="AQ117" s="32">
        <f t="shared" si="137"/>
        <v>49.2416559643019</v>
      </c>
      <c r="AR117" s="31">
        <f t="shared" si="138"/>
        <v>-26.8229157534438</v>
      </c>
      <c r="AS117" t="str">
        <f t="shared" si="113"/>
        <v>-0,000100699300699301</v>
      </c>
      <c r="AT117" t="str">
        <f t="shared" si="114"/>
        <v>0,000137969452461168i</v>
      </c>
      <c r="AU117">
        <f t="shared" si="139"/>
        <v>0.000137969452461168</v>
      </c>
      <c r="AV117">
        <f t="shared" si="140"/>
        <v>1.5707963267949</v>
      </c>
      <c r="AW117" t="str">
        <f t="shared" si="115"/>
        <v>1+0,00706378290496448i</v>
      </c>
      <c r="AX117">
        <f t="shared" si="141"/>
        <v>1.00002494820326</v>
      </c>
      <c r="AY117">
        <f t="shared" si="142"/>
        <v>0.00706366542122173</v>
      </c>
      <c r="AZ117" t="str">
        <f t="shared" si="116"/>
        <v>1+0,33770894015862i</v>
      </c>
      <c r="BA117">
        <f t="shared" si="143"/>
        <v>1.05548440455701</v>
      </c>
      <c r="BB117">
        <f t="shared" si="144"/>
        <v>0.325683417636613</v>
      </c>
      <c r="BC117" s="30" t="str">
        <f t="shared" si="145"/>
        <v>-0,241314829085147+0,731571235628395i</v>
      </c>
      <c r="BD117" s="32">
        <f t="shared" si="146"/>
        <v>-2.26631000321487</v>
      </c>
      <c r="BE117" s="31">
        <f t="shared" si="147"/>
        <v>108.255567071446</v>
      </c>
      <c r="BF117" s="30" t="str">
        <f t="shared" si="148"/>
        <v>12,8674734150101+33,6820009193309i</v>
      </c>
      <c r="BG117" s="68">
        <f t="shared" si="149"/>
        <v>31.1395974094034</v>
      </c>
      <c r="BH117" s="31">
        <f t="shared" si="150"/>
        <v>69.0917342723718</v>
      </c>
      <c r="BI117" s="30" t="str">
        <f t="shared" si="156"/>
        <v>33,2561154891796+220,746565325388i</v>
      </c>
      <c r="BJ117" s="68">
        <f t="shared" si="151"/>
        <v>46.9753459610871</v>
      </c>
      <c r="BK117" s="31">
        <f t="shared" si="157"/>
        <v>81.4326513180022</v>
      </c>
      <c r="BL117" s="32">
        <f t="shared" si="152"/>
        <v>31.1395974094034</v>
      </c>
      <c r="BM117" s="31">
        <f t="shared" si="153"/>
        <v>69.0917342723718</v>
      </c>
      <c r="BO117">
        <f t="shared" si="154"/>
        <v>0</v>
      </c>
      <c r="BP117">
        <f t="shared" si="155"/>
        <v>0</v>
      </c>
    </row>
    <row r="118" spans="14:68">
      <c r="N118" s="7">
        <v>100</v>
      </c>
      <c r="O118" s="18">
        <f t="shared" si="117"/>
        <v>100</v>
      </c>
      <c r="P118" s="86" t="str">
        <f t="shared" si="105"/>
        <v>60</v>
      </c>
      <c r="Q118" s="4" t="str">
        <f t="shared" si="106"/>
        <v>1+0,821002880138133i</v>
      </c>
      <c r="R118" s="4">
        <f t="shared" si="118"/>
        <v>1.29384919105555</v>
      </c>
      <c r="S118" s="4">
        <f t="shared" si="119"/>
        <v>0.687417020195586</v>
      </c>
      <c r="T118" s="4" t="str">
        <f t="shared" si="107"/>
        <v>1+0,0098520345616576i</v>
      </c>
      <c r="U118" s="4">
        <f t="shared" si="120"/>
        <v>1.00004853011492</v>
      </c>
      <c r="V118" s="4">
        <f t="shared" si="121"/>
        <v>0.00985171582557244</v>
      </c>
      <c r="W118" t="str">
        <f t="shared" si="108"/>
        <v>1-0,0137444678594554i</v>
      </c>
      <c r="X118" s="4">
        <f t="shared" si="122"/>
        <v>1.0000944507379</v>
      </c>
      <c r="Y118" s="4">
        <f t="shared" si="123"/>
        <v>-0.0137436024665835</v>
      </c>
      <c r="Z118" t="str">
        <f t="shared" si="109"/>
        <v>0,999999918367347+0,00366732856704769i</v>
      </c>
      <c r="AA118" s="4">
        <f t="shared" si="124"/>
        <v>1.00000664299469</v>
      </c>
      <c r="AB118" s="4">
        <f t="shared" si="125"/>
        <v>0.00366731242555086</v>
      </c>
      <c r="AC118" s="67" t="str">
        <f t="shared" si="126"/>
        <v>35,6227134702276-29,6999598193392i</v>
      </c>
      <c r="AD118" s="68">
        <f t="shared" si="127"/>
        <v>33.3265360019158</v>
      </c>
      <c r="AE118" s="31">
        <f t="shared" si="128"/>
        <v>-39.8192042256796</v>
      </c>
      <c r="AF118" s="32" t="str">
        <f t="shared" si="129"/>
        <v>326,048966736478</v>
      </c>
      <c r="AG118" s="32" t="str">
        <f t="shared" si="110"/>
        <v>1+0,527787565803086i</v>
      </c>
      <c r="AH118" s="32">
        <f t="shared" si="130"/>
        <v>1.13073414851429</v>
      </c>
      <c r="AI118" s="32">
        <f t="shared" si="131"/>
        <v>0.485629748837327</v>
      </c>
      <c r="AJ118" s="32" t="str">
        <f t="shared" si="111"/>
        <v>1+0,0098520345616576i</v>
      </c>
      <c r="AK118" s="32">
        <f t="shared" si="132"/>
        <v>1.00004853011492</v>
      </c>
      <c r="AL118" s="32">
        <f t="shared" si="133"/>
        <v>0.00985171582557244</v>
      </c>
      <c r="AM118" s="32" t="str">
        <f t="shared" si="112"/>
        <v>1-0,00162592866879396i</v>
      </c>
      <c r="AN118" s="32">
        <f t="shared" si="134"/>
        <v>1.00000132182114</v>
      </c>
      <c r="AO118" s="32">
        <f t="shared" si="135"/>
        <v>-0.00162592723600402</v>
      </c>
      <c r="AP118" s="30" t="str">
        <f t="shared" si="136"/>
        <v>256,123958810144-132,496927437623i</v>
      </c>
      <c r="AQ118" s="32">
        <f t="shared" si="137"/>
        <v>49.1988793992776</v>
      </c>
      <c r="AR118" s="31">
        <f t="shared" si="138"/>
        <v>-27.3532320450279</v>
      </c>
      <c r="AS118" t="str">
        <f t="shared" si="113"/>
        <v>-0,000100699300699301</v>
      </c>
      <c r="AT118" t="str">
        <f t="shared" si="114"/>
        <v>0,000141183173852325i</v>
      </c>
      <c r="AU118">
        <f t="shared" si="139"/>
        <v>0.000141183173852325</v>
      </c>
      <c r="AV118">
        <f t="shared" si="140"/>
        <v>1.5707963267949</v>
      </c>
      <c r="AW118" t="str">
        <f t="shared" si="115"/>
        <v>1+0,00722831954564274i</v>
      </c>
      <c r="AX118">
        <f t="shared" si="141"/>
        <v>1.0000261239605</v>
      </c>
      <c r="AY118">
        <f t="shared" si="142"/>
        <v>0.00722819365972194</v>
      </c>
      <c r="AZ118" t="str">
        <f t="shared" si="116"/>
        <v>1+0,345575191894877i</v>
      </c>
      <c r="BA118">
        <f t="shared" si="143"/>
        <v>1.05802751063154</v>
      </c>
      <c r="BB118">
        <f t="shared" si="144"/>
        <v>0.332727471223119</v>
      </c>
      <c r="BC118" s="30" t="str">
        <f t="shared" si="145"/>
        <v>-0,241314261644993+0,714997143598583i</v>
      </c>
      <c r="BD118" s="32">
        <f t="shared" si="146"/>
        <v>-2.44541742403318</v>
      </c>
      <c r="BE118" s="31">
        <f t="shared" si="147"/>
        <v>108.64973483894</v>
      </c>
      <c r="BF118" s="30" t="str">
        <f t="shared" si="148"/>
        <v>12,6391176369611+32,6371622531333i</v>
      </c>
      <c r="BG118" s="68">
        <f t="shared" si="149"/>
        <v>30.8811185778826</v>
      </c>
      <c r="BH118" s="31">
        <f t="shared" si="150"/>
        <v>68.8305306132604</v>
      </c>
      <c r="BI118" s="30" t="str">
        <f t="shared" si="156"/>
        <v>32,9285606436267+215,101297171254i</v>
      </c>
      <c r="BJ118" s="68">
        <f t="shared" si="151"/>
        <v>46.7534619752444</v>
      </c>
      <c r="BK118" s="31">
        <f t="shared" si="157"/>
        <v>81.2965027939121</v>
      </c>
      <c r="BL118" s="32">
        <f t="shared" si="152"/>
        <v>30.8811185778826</v>
      </c>
      <c r="BM118" s="31">
        <f t="shared" si="153"/>
        <v>68.8305306132604</v>
      </c>
      <c r="BO118">
        <f t="shared" si="154"/>
        <v>0</v>
      </c>
      <c r="BP118">
        <f t="shared" si="155"/>
        <v>0</v>
      </c>
    </row>
    <row r="119" spans="14:68">
      <c r="N119" s="7">
        <v>1</v>
      </c>
      <c r="O119" s="18">
        <f>10^(2+(N119/100))</f>
        <v>102.329299228075</v>
      </c>
      <c r="P119" s="86" t="str">
        <f t="shared" si="105"/>
        <v>60</v>
      </c>
      <c r="Q119" s="4" t="str">
        <f t="shared" si="106"/>
        <v>1+0,840126493887663i</v>
      </c>
      <c r="R119" s="4">
        <f t="shared" si="118"/>
        <v>1.30606758084411</v>
      </c>
      <c r="S119" s="4">
        <f t="shared" si="119"/>
        <v>0.698733983966099</v>
      </c>
      <c r="T119" s="4" t="str">
        <f t="shared" si="107"/>
        <v>1+0,010081517926652i</v>
      </c>
      <c r="U119" s="4">
        <f t="shared" si="120"/>
        <v>1.00005081721066</v>
      </c>
      <c r="V119" s="4">
        <f t="shared" si="121"/>
        <v>0.0100811763957208</v>
      </c>
      <c r="W119" t="str">
        <f t="shared" si="108"/>
        <v>1-0,0140646176432087i</v>
      </c>
      <c r="X119" s="4">
        <f t="shared" si="122"/>
        <v>1.00009890184394</v>
      </c>
      <c r="Y119" s="4">
        <f t="shared" si="123"/>
        <v>-0.0140636903629925</v>
      </c>
      <c r="Z119" t="str">
        <f t="shared" si="109"/>
        <v>0,999999914520118+0,0037527516230509i</v>
      </c>
      <c r="AA119" s="4">
        <f t="shared" si="124"/>
        <v>1.0000069560683</v>
      </c>
      <c r="AB119" s="4">
        <f t="shared" si="125"/>
        <v>0.00375273432713194</v>
      </c>
      <c r="AC119" s="67" t="str">
        <f t="shared" si="126"/>
        <v>34,9492120925797-29,8259355484795i</v>
      </c>
      <c r="AD119" s="68">
        <f t="shared" si="127"/>
        <v>33.2449519867576</v>
      </c>
      <c r="AE119" s="31">
        <f t="shared" si="128"/>
        <v>-40.4777053643743</v>
      </c>
      <c r="AF119" s="32" t="str">
        <f t="shared" si="129"/>
        <v>326,048966736478</v>
      </c>
      <c r="AG119" s="32" t="str">
        <f t="shared" si="110"/>
        <v>1+0,540081317499212i</v>
      </c>
      <c r="AH119" s="32">
        <f t="shared" si="130"/>
        <v>1.13652445178786</v>
      </c>
      <c r="AI119" s="32">
        <f t="shared" si="131"/>
        <v>0.495196220060684</v>
      </c>
      <c r="AJ119" s="32" t="str">
        <f t="shared" si="111"/>
        <v>1+0,010081517926652i</v>
      </c>
      <c r="AK119" s="32">
        <f t="shared" si="132"/>
        <v>1.00005081721066</v>
      </c>
      <c r="AL119" s="32">
        <f t="shared" si="133"/>
        <v>0.0100811763957208</v>
      </c>
      <c r="AM119" s="32" t="str">
        <f t="shared" si="112"/>
        <v>1-0,00166380141272522i</v>
      </c>
      <c r="AN119" s="32">
        <f t="shared" si="134"/>
        <v>1.00000138411661</v>
      </c>
      <c r="AO119" s="32">
        <f t="shared" si="135"/>
        <v>-0.00166379987746326</v>
      </c>
      <c r="AP119" s="30" t="str">
        <f t="shared" si="136"/>
        <v>253,572673568678-134,205275851123i</v>
      </c>
      <c r="AQ119" s="32">
        <f t="shared" si="137"/>
        <v>49.1545342926399</v>
      </c>
      <c r="AR119" s="31">
        <f t="shared" si="138"/>
        <v>-27.8903732912401</v>
      </c>
      <c r="AS119" t="str">
        <f t="shared" si="113"/>
        <v>-0,000100699300699301</v>
      </c>
      <c r="AT119" t="str">
        <f t="shared" si="114"/>
        <v>0,000144471752431039i</v>
      </c>
      <c r="AU119">
        <f t="shared" si="139"/>
        <v>0.000144471752431039</v>
      </c>
      <c r="AV119">
        <f t="shared" si="140"/>
        <v>1.5707963267949</v>
      </c>
      <c r="AW119" t="str">
        <f t="shared" si="115"/>
        <v>1+0,00739668873702219i</v>
      </c>
      <c r="AX119">
        <f t="shared" si="141"/>
        <v>1.00002735512798</v>
      </c>
      <c r="AY119">
        <f t="shared" si="142"/>
        <v>0.00739655384802708</v>
      </c>
      <c r="AZ119" t="str">
        <f t="shared" si="116"/>
        <v>1+0,353624672172103i</v>
      </c>
      <c r="BA119">
        <f t="shared" si="143"/>
        <v>1.06068393443515</v>
      </c>
      <c r="BB119">
        <f t="shared" si="144"/>
        <v>0.339900269438073</v>
      </c>
      <c r="BC119" s="30" t="str">
        <f t="shared" si="145"/>
        <v>-0,241313667465065+0,698802152131721i</v>
      </c>
      <c r="BD119" s="32">
        <f t="shared" si="146"/>
        <v>-2.62364750542075</v>
      </c>
      <c r="BE119" s="31">
        <f t="shared" si="147"/>
        <v>109.051059575728</v>
      </c>
      <c r="BF119" s="30" t="str">
        <f t="shared" si="148"/>
        <v>12,4087054055447+31,6199905183829i</v>
      </c>
      <c r="BG119" s="68">
        <f t="shared" si="149"/>
        <v>30.6213044813368</v>
      </c>
      <c r="BH119" s="31">
        <f t="shared" si="150"/>
        <v>68.5733542113536</v>
      </c>
      <c r="BI119" s="30" t="str">
        <f t="shared" si="156"/>
        <v>32,5923837644166+209,582697320382i</v>
      </c>
      <c r="BJ119" s="68">
        <f t="shared" si="151"/>
        <v>46.5308867872192</v>
      </c>
      <c r="BK119" s="31">
        <f t="shared" si="157"/>
        <v>81.1606862844878</v>
      </c>
      <c r="BL119" s="32">
        <f t="shared" si="152"/>
        <v>30.6213044813368</v>
      </c>
      <c r="BM119" s="31">
        <f t="shared" si="153"/>
        <v>68.5733542113536</v>
      </c>
      <c r="BO119">
        <f t="shared" si="154"/>
        <v>0</v>
      </c>
      <c r="BP119">
        <f t="shared" si="155"/>
        <v>0</v>
      </c>
    </row>
    <row r="120" spans="14:68">
      <c r="N120" s="7">
        <v>2</v>
      </c>
      <c r="O120" s="18">
        <f t="shared" ref="O120:O183" si="158">10^(2+(N120/100))</f>
        <v>104.71285480509</v>
      </c>
      <c r="P120" s="86" t="str">
        <f t="shared" si="105"/>
        <v>60</v>
      </c>
      <c r="Q120" s="4" t="str">
        <f t="shared" si="106"/>
        <v>1+0,85969555382465i</v>
      </c>
      <c r="R120" s="4">
        <f t="shared" si="118"/>
        <v>1.31874047684367</v>
      </c>
      <c r="S120" s="4">
        <f t="shared" si="119"/>
        <v>0.710095971845894</v>
      </c>
      <c r="T120" s="4" t="str">
        <f t="shared" si="107"/>
        <v>1+0,0103163466458958i</v>
      </c>
      <c r="U120" s="4">
        <f t="shared" si="120"/>
        <v>1.0000532120883</v>
      </c>
      <c r="V120" s="4">
        <f t="shared" si="121"/>
        <v>0.0103159806899613</v>
      </c>
      <c r="W120" t="str">
        <f t="shared" si="108"/>
        <v>1-0,0143922246734037i</v>
      </c>
      <c r="X120" s="4">
        <f t="shared" si="122"/>
        <v>1.00010356270291</v>
      </c>
      <c r="Y120" s="4">
        <f t="shared" si="123"/>
        <v>-0.0143912310803075</v>
      </c>
      <c r="Z120" t="str">
        <f t="shared" si="109"/>
        <v>0,999999910491576+0,00384016443763823i</v>
      </c>
      <c r="AA120" s="4">
        <f t="shared" si="124"/>
        <v>1.00000728389651</v>
      </c>
      <c r="AB120" s="4">
        <f t="shared" si="125"/>
        <v>0.00384014590473445</v>
      </c>
      <c r="AC120" s="67" t="str">
        <f t="shared" si="126"/>
        <v>34,2703412329406-29,9370498025994i</v>
      </c>
      <c r="AD120" s="68">
        <f t="shared" si="127"/>
        <v>33.1611366816909</v>
      </c>
      <c r="AE120" s="31">
        <f t="shared" si="128"/>
        <v>-41.1390210368919</v>
      </c>
      <c r="AF120" s="32" t="str">
        <f t="shared" si="129"/>
        <v>326,048966736478</v>
      </c>
      <c r="AG120" s="32" t="str">
        <f t="shared" si="110"/>
        <v>1+0,552661427458704i</v>
      </c>
      <c r="AH120" s="32">
        <f t="shared" si="130"/>
        <v>1.14255619266655</v>
      </c>
      <c r="AI120" s="32">
        <f t="shared" si="131"/>
        <v>0.504884236755007</v>
      </c>
      <c r="AJ120" s="32" t="str">
        <f t="shared" si="111"/>
        <v>1+0,0103163466458958i</v>
      </c>
      <c r="AK120" s="32">
        <f t="shared" si="132"/>
        <v>1.0000532120883</v>
      </c>
      <c r="AL120" s="32">
        <f t="shared" si="133"/>
        <v>0.0103159806899613</v>
      </c>
      <c r="AM120" s="32" t="str">
        <f t="shared" si="112"/>
        <v>1-0,00170255632618855i</v>
      </c>
      <c r="AN120" s="32">
        <f t="shared" si="134"/>
        <v>1.00000144934797</v>
      </c>
      <c r="AO120" s="32">
        <f t="shared" si="135"/>
        <v>-0.00170255468112585</v>
      </c>
      <c r="AP120" s="30" t="str">
        <f t="shared" si="136"/>
        <v>250,956148523772-135,885265839261i</v>
      </c>
      <c r="AQ120" s="32">
        <f t="shared" si="137"/>
        <v>49.1085799651219</v>
      </c>
      <c r="AR120" s="31">
        <f t="shared" si="138"/>
        <v>-28.4342229512912</v>
      </c>
      <c r="AS120" t="str">
        <f t="shared" si="113"/>
        <v>-0,000100699300699301</v>
      </c>
      <c r="AT120" t="str">
        <f t="shared" si="114"/>
        <v>0,000147836931845203i</v>
      </c>
      <c r="AU120">
        <f t="shared" si="139"/>
        <v>0.000147836931845203</v>
      </c>
      <c r="AV120">
        <f t="shared" si="140"/>
        <v>1.5707963267949</v>
      </c>
      <c r="AW120" t="str">
        <f t="shared" si="115"/>
        <v>1+0,00756897975067682i</v>
      </c>
      <c r="AX120">
        <f t="shared" si="141"/>
        <v>1.00002864431698</v>
      </c>
      <c r="AY120">
        <f t="shared" si="142"/>
        <v>0.00756883521473809</v>
      </c>
      <c r="AZ120" t="str">
        <f t="shared" si="116"/>
        <v>1+0,361861648931294i</v>
      </c>
      <c r="BA120">
        <f t="shared" si="143"/>
        <v>1.06345843969911</v>
      </c>
      <c r="BB120">
        <f t="shared" si="144"/>
        <v>0.347202662189574</v>
      </c>
      <c r="BC120" s="30" t="str">
        <f t="shared" si="145"/>
        <v>-0,241313045285437+0,682977674401311i</v>
      </c>
      <c r="BD120" s="32">
        <f t="shared" si="146"/>
        <v>-2.8009680767316</v>
      </c>
      <c r="BE120" s="31">
        <f t="shared" si="147"/>
        <v>109.459584865535</v>
      </c>
      <c r="BF120" s="30" t="str">
        <f t="shared" si="148"/>
        <v>12,1764562467236+30,6300786109402i</v>
      </c>
      <c r="BG120" s="68">
        <f t="shared" si="149"/>
        <v>30.3601686049593</v>
      </c>
      <c r="BH120" s="31">
        <f t="shared" si="150"/>
        <v>68.3205638286427</v>
      </c>
      <c r="BI120" s="30" t="str">
        <f t="shared" si="156"/>
        <v>32,2476104149265+204,188334004569i</v>
      </c>
      <c r="BJ120" s="68">
        <f t="shared" si="151"/>
        <v>46.3076118883903</v>
      </c>
      <c r="BK120" s="31">
        <f t="shared" si="157"/>
        <v>81.0253619142433</v>
      </c>
      <c r="BL120" s="32">
        <f t="shared" si="152"/>
        <v>30.3601686049593</v>
      </c>
      <c r="BM120" s="31">
        <f t="shared" si="153"/>
        <v>68.3205638286427</v>
      </c>
      <c r="BO120">
        <f t="shared" si="154"/>
        <v>0</v>
      </c>
      <c r="BP120">
        <f t="shared" si="155"/>
        <v>0</v>
      </c>
    </row>
    <row r="121" spans="14:68">
      <c r="N121" s="7">
        <v>3</v>
      </c>
      <c r="O121" s="18">
        <f t="shared" si="158"/>
        <v>107.151930523761</v>
      </c>
      <c r="P121" s="86" t="str">
        <f t="shared" si="105"/>
        <v>60</v>
      </c>
      <c r="Q121" s="4" t="str">
        <f t="shared" si="106"/>
        <v>1+0,879720435723688i</v>
      </c>
      <c r="R121" s="4">
        <f t="shared" si="118"/>
        <v>1.33188139300385</v>
      </c>
      <c r="S121" s="4">
        <f t="shared" si="119"/>
        <v>0.721497274759977</v>
      </c>
      <c r="T121" s="4" t="str">
        <f t="shared" si="107"/>
        <v>1+0,0105566452286843i</v>
      </c>
      <c r="U121" s="4">
        <f t="shared" si="120"/>
        <v>1.00005571982689</v>
      </c>
      <c r="V121" s="4">
        <f t="shared" si="121"/>
        <v>0.0105562531010156</v>
      </c>
      <c r="W121" t="str">
        <f t="shared" si="108"/>
        <v>1-0,0147274626516243i</v>
      </c>
      <c r="X121" s="4">
        <f t="shared" si="122"/>
        <v>1.00010844319811</v>
      </c>
      <c r="Y121" s="4">
        <f t="shared" si="123"/>
        <v>-0.014726398003675</v>
      </c>
      <c r="Z121" t="str">
        <f t="shared" si="109"/>
        <v>0,999999906273174+0,00392961335824098i</v>
      </c>
      <c r="AA121" s="4">
        <f t="shared" si="124"/>
        <v>1.00000762717466</v>
      </c>
      <c r="AB121" s="4">
        <f t="shared" si="125"/>
        <v>0.00392959349988497</v>
      </c>
      <c r="AC121" s="67" t="str">
        <f t="shared" si="126"/>
        <v>33,5867642995449-30,0330179899101i</v>
      </c>
      <c r="AD121" s="68">
        <f t="shared" si="127"/>
        <v>33.0750735631331</v>
      </c>
      <c r="AE121" s="31">
        <f t="shared" si="128"/>
        <v>-41.8028295995631</v>
      </c>
      <c r="AF121" s="32" t="str">
        <f t="shared" si="129"/>
        <v>326,048966736478</v>
      </c>
      <c r="AG121" s="32" t="str">
        <f t="shared" si="110"/>
        <v>1+0,565534565822372i</v>
      </c>
      <c r="AH121" s="32">
        <f t="shared" si="130"/>
        <v>1.14883825891198</v>
      </c>
      <c r="AI121" s="32">
        <f t="shared" si="131"/>
        <v>0.514691660513769</v>
      </c>
      <c r="AJ121" s="32" t="str">
        <f t="shared" si="111"/>
        <v>1+0,0105566452286843i</v>
      </c>
      <c r="AK121" s="32">
        <f t="shared" si="132"/>
        <v>1.00005571982689</v>
      </c>
      <c r="AL121" s="32">
        <f t="shared" si="133"/>
        <v>0.0105562531010156</v>
      </c>
      <c r="AM121" s="32" t="str">
        <f t="shared" si="112"/>
        <v>1-0,00174221395755201i</v>
      </c>
      <c r="AN121" s="32">
        <f t="shared" si="134"/>
        <v>1.00000151765359</v>
      </c>
      <c r="AO121" s="32">
        <f t="shared" si="135"/>
        <v>-0.00174221219483571</v>
      </c>
      <c r="AP121" s="30" t="str">
        <f t="shared" si="136"/>
        <v>248,274729517256-137,534005153886i</v>
      </c>
      <c r="AQ121" s="32">
        <f t="shared" si="137"/>
        <v>49.0609759073442</v>
      </c>
      <c r="AR121" s="31">
        <f t="shared" si="138"/>
        <v>-28.9846525536394</v>
      </c>
      <c r="AS121" t="str">
        <f t="shared" si="113"/>
        <v>-0,000100699300699301</v>
      </c>
      <c r="AT121" t="str">
        <f t="shared" si="114"/>
        <v>0,000151280496357484i</v>
      </c>
      <c r="AU121">
        <f t="shared" si="139"/>
        <v>0.000151280496357484</v>
      </c>
      <c r="AV121">
        <f t="shared" si="140"/>
        <v>1.5707963267949</v>
      </c>
      <c r="AW121" t="str">
        <f t="shared" si="115"/>
        <v>1+0,00774528393758255i</v>
      </c>
      <c r="AX121">
        <f t="shared" si="141"/>
        <v>1.00002999426181</v>
      </c>
      <c r="AY121">
        <f t="shared" si="142"/>
        <v>0.00774512906478478</v>
      </c>
      <c r="AZ121" t="str">
        <f t="shared" si="116"/>
        <v>1+0,370290489526552i</v>
      </c>
      <c r="BA121">
        <f t="shared" si="143"/>
        <v>1.06635596619225</v>
      </c>
      <c r="BB121">
        <f t="shared" si="144"/>
        <v>0.354635405147104</v>
      </c>
      <c r="BC121" s="30" t="str">
        <f t="shared" si="145"/>
        <v>-0,241312393786824+0,667515320030175i</v>
      </c>
      <c r="BD121" s="32">
        <f t="shared" si="146"/>
        <v>-2.97734618308014</v>
      </c>
      <c r="BE121" s="31">
        <f t="shared" si="147"/>
        <v>109.875348773645</v>
      </c>
      <c r="BF121" s="30" t="str">
        <f t="shared" si="148"/>
        <v>11,9425971223298+29,6670191839767i</v>
      </c>
      <c r="BG121" s="68">
        <f t="shared" si="149"/>
        <v>30.0977273800529</v>
      </c>
      <c r="BH121" s="31">
        <f t="shared" si="150"/>
        <v>68.0725191740817</v>
      </c>
      <c r="BI121" s="30" t="str">
        <f t="shared" si="156"/>
        <v>31,8942861687426+198,91584553989i</v>
      </c>
      <c r="BJ121" s="68">
        <f t="shared" si="151"/>
        <v>46.083629724264</v>
      </c>
      <c r="BK121" s="31">
        <f t="shared" si="157"/>
        <v>80.8906962200054</v>
      </c>
      <c r="BL121" s="32">
        <f t="shared" si="152"/>
        <v>30.0977273800529</v>
      </c>
      <c r="BM121" s="31">
        <f t="shared" si="153"/>
        <v>68.0725191740817</v>
      </c>
      <c r="BO121">
        <f t="shared" si="154"/>
        <v>0</v>
      </c>
      <c r="BP121">
        <f t="shared" si="155"/>
        <v>0</v>
      </c>
    </row>
    <row r="122" spans="14:68">
      <c r="N122" s="7">
        <v>4</v>
      </c>
      <c r="O122" s="18">
        <f t="shared" si="158"/>
        <v>109.647819614319</v>
      </c>
      <c r="P122" s="86" t="str">
        <f t="shared" si="105"/>
        <v>60</v>
      </c>
      <c r="Q122" s="4" t="str">
        <f t="shared" si="106"/>
        <v>1+0,900211757042223i</v>
      </c>
      <c r="R122" s="4">
        <f t="shared" si="118"/>
        <v>1.34550407190653</v>
      </c>
      <c r="S122" s="4">
        <f t="shared" si="119"/>
        <v>0.732932082309685</v>
      </c>
      <c r="T122" s="4" t="str">
        <f t="shared" si="107"/>
        <v>1+0,0108025410845067i</v>
      </c>
      <c r="U122" s="4">
        <f t="shared" si="120"/>
        <v>1.00005834574483</v>
      </c>
      <c r="V122" s="4">
        <f t="shared" si="121"/>
        <v>0.0108021209134636</v>
      </c>
      <c r="W122" t="str">
        <f t="shared" si="108"/>
        <v>1-0,0150705093254837i</v>
      </c>
      <c r="X122" s="4">
        <f t="shared" si="122"/>
        <v>1.00011355367845</v>
      </c>
      <c r="Y122" s="4">
        <f t="shared" si="123"/>
        <v>-0.0150693685416482</v>
      </c>
      <c r="Z122" t="str">
        <f t="shared" si="109"/>
        <v>0,999999901855965+0,00402114581186084i</v>
      </c>
      <c r="AA122" s="4">
        <f t="shared" si="124"/>
        <v>1.0000079866309</v>
      </c>
      <c r="AB122" s="4">
        <f t="shared" si="125"/>
        <v>0.00402112453325819</v>
      </c>
      <c r="AC122" s="67" t="str">
        <f t="shared" si="126"/>
        <v>32,8991639660695-30,1135923508733i</v>
      </c>
      <c r="AD122" s="68">
        <f t="shared" si="127"/>
        <v>32.9867483374035</v>
      </c>
      <c r="AE122" s="31">
        <f t="shared" si="128"/>
        <v>-42.4688037299644</v>
      </c>
      <c r="AF122" s="32" t="str">
        <f t="shared" si="129"/>
        <v>326,048966736478</v>
      </c>
      <c r="AG122" s="32" t="str">
        <f t="shared" si="110"/>
        <v>1+0,578707558098573i</v>
      </c>
      <c r="AH122" s="32">
        <f t="shared" si="130"/>
        <v>1.15537978076493</v>
      </c>
      <c r="AI122" s="32">
        <f t="shared" si="131"/>
        <v>0.524616143997646</v>
      </c>
      <c r="AJ122" s="32" t="str">
        <f t="shared" si="111"/>
        <v>1+0,0108025410845067i</v>
      </c>
      <c r="AK122" s="32">
        <f t="shared" si="132"/>
        <v>1.00005834574483</v>
      </c>
      <c r="AL122" s="32">
        <f t="shared" si="133"/>
        <v>0.0108021209134636</v>
      </c>
      <c r="AM122" s="32" t="str">
        <f t="shared" si="112"/>
        <v>1-0,00178279533381669i</v>
      </c>
      <c r="AN122" s="32">
        <f t="shared" si="134"/>
        <v>1.00000158917834</v>
      </c>
      <c r="AO122" s="32">
        <f t="shared" si="135"/>
        <v>-0.00178279344503231</v>
      </c>
      <c r="AP122" s="30" t="str">
        <f t="shared" si="136"/>
        <v>245,528920705978-139,148563362097i</v>
      </c>
      <c r="AQ122" s="32">
        <f t="shared" si="137"/>
        <v>49.0116818765792</v>
      </c>
      <c r="AR122" s="31">
        <f t="shared" si="138"/>
        <v>-29.5415215175052</v>
      </c>
      <c r="AS122" t="str">
        <f t="shared" si="113"/>
        <v>-0,000100699300699301</v>
      </c>
      <c r="AT122" t="str">
        <f t="shared" si="114"/>
        <v>0,000154804271791368i</v>
      </c>
      <c r="AU122">
        <f t="shared" si="139"/>
        <v>0.000154804271791368</v>
      </c>
      <c r="AV122">
        <f t="shared" si="140"/>
        <v>1.5707963267949</v>
      </c>
      <c r="AW122" t="str">
        <f t="shared" si="115"/>
        <v>1+0,00792569477655292i</v>
      </c>
      <c r="AX122">
        <f t="shared" si="141"/>
        <v>1.00003140782562</v>
      </c>
      <c r="AY122">
        <f t="shared" si="142"/>
        <v>0.00792552882764174</v>
      </c>
      <c r="AZ122" t="str">
        <f t="shared" si="116"/>
        <v>1+0,378915663040731i</v>
      </c>
      <c r="BA122">
        <f t="shared" si="143"/>
        <v>1.06938163426234</v>
      </c>
      <c r="BB122">
        <f t="shared" si="144"/>
        <v>0.362199153255307</v>
      </c>
      <c r="BC122" s="30" t="str">
        <f t="shared" si="145"/>
        <v>-0,241311711587799+0,652406890641607i</v>
      </c>
      <c r="BD122" s="32">
        <f t="shared" si="146"/>
        <v>-3.15274809990698</v>
      </c>
      <c r="BE122" s="31">
        <f t="shared" si="147"/>
        <v>110.298383472508</v>
      </c>
      <c r="BF122" s="30" t="str">
        <f t="shared" si="148"/>
        <v>11,7073615852223+28,7304037800583i</v>
      </c>
      <c r="BG122" s="68">
        <f t="shared" si="149"/>
        <v>29.8340002374966</v>
      </c>
      <c r="BH122" s="31">
        <f t="shared" si="150"/>
        <v>67.8295797425436</v>
      </c>
      <c r="BI122" s="30" t="str">
        <f t="shared" si="156"/>
        <v>31,5324774604478+193,762937710268i</v>
      </c>
      <c r="BJ122" s="68">
        <f t="shared" si="151"/>
        <v>45.8589337766723</v>
      </c>
      <c r="BK122" s="31">
        <f t="shared" si="157"/>
        <v>80.756861955003</v>
      </c>
      <c r="BL122" s="32">
        <f t="shared" si="152"/>
        <v>29.8340002374966</v>
      </c>
      <c r="BM122" s="31">
        <f t="shared" si="153"/>
        <v>67.8295797425436</v>
      </c>
      <c r="BO122">
        <f t="shared" si="154"/>
        <v>0</v>
      </c>
      <c r="BP122">
        <f t="shared" si="155"/>
        <v>0</v>
      </c>
    </row>
    <row r="123" spans="14:68">
      <c r="N123" s="7">
        <v>5</v>
      </c>
      <c r="O123" s="18">
        <f t="shared" si="158"/>
        <v>112.201845430196</v>
      </c>
      <c r="P123" s="86" t="str">
        <f t="shared" si="105"/>
        <v>60</v>
      </c>
      <c r="Q123" s="4" t="str">
        <f t="shared" si="106"/>
        <v>1+0,921180382550045i</v>
      </c>
      <c r="R123" s="4">
        <f t="shared" si="118"/>
        <v>1.35962248333684</v>
      </c>
      <c r="S123" s="4">
        <f t="shared" si="119"/>
        <v>0.74439449708095</v>
      </c>
      <c r="T123" s="4" t="str">
        <f t="shared" si="107"/>
        <v>1+0,0110541645906006i</v>
      </c>
      <c r="U123" s="4">
        <f t="shared" si="120"/>
        <v>1.00006109541107</v>
      </c>
      <c r="V123" s="4">
        <f t="shared" si="121"/>
        <v>0.0110537143707019</v>
      </c>
      <c r="W123" t="str">
        <f t="shared" si="108"/>
        <v>1-0,0154215465828691i</v>
      </c>
      <c r="X123" s="4">
        <f t="shared" si="122"/>
        <v>1.00011890498031</v>
      </c>
      <c r="Y123" s="4">
        <f t="shared" si="123"/>
        <v>-0.0154203242188151</v>
      </c>
      <c r="Z123" t="str">
        <f t="shared" si="109"/>
        <v>0,999999897230579+0,00411481033021627i</v>
      </c>
      <c r="AA123" s="4">
        <f t="shared" si="124"/>
        <v>1.00000836302764</v>
      </c>
      <c r="AB123" s="4">
        <f t="shared" si="125"/>
        <v>0.00411478752979303</v>
      </c>
      <c r="AC123" s="67" t="str">
        <f t="shared" si="126"/>
        <v>32,2082395368232-30,178563504874i</v>
      </c>
      <c r="AD123" s="68">
        <f t="shared" si="127"/>
        <v>32.8961490003319</v>
      </c>
      <c r="AE123" s="31">
        <f t="shared" si="128"/>
        <v>-43.1366112496293</v>
      </c>
      <c r="AF123" s="32" t="str">
        <f t="shared" si="129"/>
        <v>326,048966736478</v>
      </c>
      <c r="AG123" s="32" t="str">
        <f t="shared" si="110"/>
        <v>1+0,592187388782172i</v>
      </c>
      <c r="AH123" s="32">
        <f t="shared" si="130"/>
        <v>1.16219013222134</v>
      </c>
      <c r="AI123" s="32">
        <f t="shared" si="131"/>
        <v>0.53465512853354</v>
      </c>
      <c r="AJ123" s="32" t="str">
        <f t="shared" si="111"/>
        <v>1+0,0110541645906006i</v>
      </c>
      <c r="AK123" s="32">
        <f t="shared" si="132"/>
        <v>1.00006109541107</v>
      </c>
      <c r="AL123" s="32">
        <f t="shared" si="133"/>
        <v>0.0110537143707019</v>
      </c>
      <c r="AM123" s="32" t="str">
        <f t="shared" si="112"/>
        <v>1-0,00182432197176544i</v>
      </c>
      <c r="AN123" s="32">
        <f t="shared" si="134"/>
        <v>1.00000166407394</v>
      </c>
      <c r="AO123" s="32">
        <f t="shared" si="135"/>
        <v>-0.00182431994789669</v>
      </c>
      <c r="AP123" s="30" t="str">
        <f t="shared" si="136"/>
        <v>242,719390489691-140,725981411879i</v>
      </c>
      <c r="AQ123" s="32">
        <f t="shared" si="137"/>
        <v>48.9606579973828</v>
      </c>
      <c r="AR123" s="31">
        <f t="shared" si="138"/>
        <v>-30.1046770121081</v>
      </c>
      <c r="AS123" t="str">
        <f t="shared" si="113"/>
        <v>-0,000100699300699301</v>
      </c>
      <c r="AT123" t="str">
        <f t="shared" si="114"/>
        <v>0,000158410126499231i</v>
      </c>
      <c r="AU123">
        <f t="shared" si="139"/>
        <v>0.000158410126499231</v>
      </c>
      <c r="AV123">
        <f t="shared" si="140"/>
        <v>1.5707963267949</v>
      </c>
      <c r="AW123" t="str">
        <f t="shared" si="115"/>
        <v>1+0,00811030792380272i</v>
      </c>
      <c r="AX123">
        <f t="shared" si="141"/>
        <v>1.0000328880065</v>
      </c>
      <c r="AY123">
        <f t="shared" si="142"/>
        <v>0.00811013010665655</v>
      </c>
      <c r="AZ123" t="str">
        <f t="shared" si="116"/>
        <v>1+0,387741742654993i</v>
      </c>
      <c r="BA123">
        <f t="shared" si="143"/>
        <v>1.07254074934108</v>
      </c>
      <c r="BB123">
        <f t="shared" si="144"/>
        <v>0.369894454122089</v>
      </c>
      <c r="BC123" s="30" t="str">
        <f t="shared" si="145"/>
        <v>-0,241310997241858+0,63764437551235i</v>
      </c>
      <c r="BD123" s="32">
        <f t="shared" si="146"/>
        <v>-3.32713935099651</v>
      </c>
      <c r="BE123" s="31">
        <f t="shared" si="147"/>
        <v>110.728714860078</v>
      </c>
      <c r="BF123" s="30" t="str">
        <f t="shared" si="148"/>
        <v>11,4709888778897+27,8198220404977i</v>
      </c>
      <c r="BG123" s="68">
        <f t="shared" si="149"/>
        <v>29.5690096493354</v>
      </c>
      <c r="BH123" s="31">
        <f t="shared" si="150"/>
        <v>67.5921036104485</v>
      </c>
      <c r="BI123" s="30" t="str">
        <f t="shared" si="156"/>
        <v>31,1622723667369+188,727381085877i</v>
      </c>
      <c r="BJ123" s="68">
        <f t="shared" si="151"/>
        <v>45.6335186463863</v>
      </c>
      <c r="BK123" s="31">
        <f t="shared" si="157"/>
        <v>80.6240378479697</v>
      </c>
      <c r="BL123" s="32">
        <f t="shared" si="152"/>
        <v>29.5690096493354</v>
      </c>
      <c r="BM123" s="31">
        <f t="shared" si="153"/>
        <v>67.5921036104485</v>
      </c>
      <c r="BO123">
        <f t="shared" si="154"/>
        <v>0</v>
      </c>
      <c r="BP123">
        <f t="shared" si="155"/>
        <v>0</v>
      </c>
    </row>
    <row r="124" spans="14:68">
      <c r="N124" s="7">
        <v>6</v>
      </c>
      <c r="O124" s="18">
        <f t="shared" si="158"/>
        <v>114.815362149688</v>
      </c>
      <c r="P124" s="86" t="str">
        <f t="shared" si="105"/>
        <v>60</v>
      </c>
      <c r="Q124" s="4" t="str">
        <f t="shared" si="106"/>
        <v>1+0,942637430089966i</v>
      </c>
      <c r="R124" s="4">
        <f t="shared" si="118"/>
        <v>1.3742508230329</v>
      </c>
      <c r="S124" s="4">
        <f t="shared" si="119"/>
        <v>0.755878549498393</v>
      </c>
      <c r="T124" s="4" t="str">
        <f t="shared" si="107"/>
        <v>1+0,0113116491610796i</v>
      </c>
      <c r="U124" s="4">
        <f t="shared" si="120"/>
        <v>1.00006397465699</v>
      </c>
      <c r="V124" s="4">
        <f t="shared" si="121"/>
        <v>0.0113111667434332</v>
      </c>
      <c r="W124" t="str">
        <f t="shared" si="108"/>
        <v>1-0,0157807605483811i</v>
      </c>
      <c r="X124" s="4">
        <f t="shared" si="122"/>
        <v>1.00012450845057</v>
      </c>
      <c r="Y124" s="4">
        <f t="shared" si="123"/>
        <v>-0.0157794507705057</v>
      </c>
      <c r="Z124" t="str">
        <f t="shared" si="109"/>
        <v>0,999999892387205+0,00421065657547476i</v>
      </c>
      <c r="AA124" s="4">
        <f t="shared" si="124"/>
        <v>1.00000875716326</v>
      </c>
      <c r="AB124" s="4">
        <f t="shared" si="125"/>
        <v>0.00421063214439265</v>
      </c>
      <c r="AC124" s="67" t="str">
        <f t="shared" si="126"/>
        <v>31,5147041673213-30,2277617711085i</v>
      </c>
      <c r="AD124" s="68">
        <f t="shared" si="127"/>
        <v>32.8032658879302</v>
      </c>
      <c r="AE124" s="31">
        <f t="shared" si="128"/>
        <v>-43.8059159781012</v>
      </c>
      <c r="AF124" s="32" t="str">
        <f t="shared" si="129"/>
        <v>326,048966736478</v>
      </c>
      <c r="AG124" s="32" t="str">
        <f t="shared" si="110"/>
        <v>1+0,605981205057836i</v>
      </c>
      <c r="AH124" s="32">
        <f t="shared" si="130"/>
        <v>1.16927893202749</v>
      </c>
      <c r="AI124" s="32">
        <f t="shared" si="131"/>
        <v>0.544805842425878</v>
      </c>
      <c r="AJ124" s="32" t="str">
        <f t="shared" si="111"/>
        <v>1+0,0113116491610796i</v>
      </c>
      <c r="AK124" s="32">
        <f t="shared" si="132"/>
        <v>1.00006397465699</v>
      </c>
      <c r="AL124" s="32">
        <f t="shared" si="133"/>
        <v>0.0113111667434332</v>
      </c>
      <c r="AM124" s="32" t="str">
        <f t="shared" si="112"/>
        <v>1-0,00186681588937138i</v>
      </c>
      <c r="AN124" s="32">
        <f t="shared" si="134"/>
        <v>1.00000174249926</v>
      </c>
      <c r="AO124" s="32">
        <f t="shared" si="135"/>
        <v>-0.00186681372075715</v>
      </c>
      <c r="AP124" s="30" t="str">
        <f t="shared" si="136"/>
        <v>239,846976825003-142,263281916655i</v>
      </c>
      <c r="AQ124" s="32">
        <f t="shared" si="137"/>
        <v>48.9078648657376</v>
      </c>
      <c r="AR124" s="31">
        <f t="shared" si="138"/>
        <v>-30.6739538566411</v>
      </c>
      <c r="AS124" t="str">
        <f t="shared" si="113"/>
        <v>-0,000100699300699301</v>
      </c>
      <c r="AT124" t="str">
        <f t="shared" si="114"/>
        <v>0,000162099972352971i</v>
      </c>
      <c r="AU124">
        <f t="shared" si="139"/>
        <v>0.000162099972352971</v>
      </c>
      <c r="AV124">
        <f t="shared" si="140"/>
        <v>1.5707963267949</v>
      </c>
      <c r="AW124" t="str">
        <f t="shared" si="115"/>
        <v>1+0,00829922126366639i</v>
      </c>
      <c r="AX124">
        <f t="shared" si="141"/>
        <v>1.00003443794381</v>
      </c>
      <c r="AY124">
        <f t="shared" si="142"/>
        <v>0.00829903072951584</v>
      </c>
      <c r="AZ124" t="str">
        <f t="shared" si="116"/>
        <v>1+0,396773408073582i</v>
      </c>
      <c r="BA124">
        <f t="shared" si="143"/>
        <v>1.07583880639914</v>
      </c>
      <c r="BB124">
        <f t="shared" si="144"/>
        <v>0.3777217413021</v>
      </c>
      <c r="BC124" s="30" t="str">
        <f t="shared" si="145"/>
        <v>-0,241310249234363+0,623219947325014i</v>
      </c>
      <c r="BD124" s="32">
        <f t="shared" si="146"/>
        <v>-3.50048473015042</v>
      </c>
      <c r="BE124" s="31">
        <f t="shared" si="147"/>
        <v>111.166362172092</v>
      </c>
      <c r="BF124" s="30" t="str">
        <f t="shared" si="148"/>
        <v>11,2337229815798+26,9348609979045i</v>
      </c>
      <c r="BG124" s="68">
        <f t="shared" si="149"/>
        <v>29.3027811577797</v>
      </c>
      <c r="BH124" s="31">
        <f t="shared" si="150"/>
        <v>67.3604461939908</v>
      </c>
      <c r="BI124" s="30" t="str">
        <f t="shared" si="156"/>
        <v>30,7837813066314+183,807008279149i</v>
      </c>
      <c r="BJ124" s="68">
        <f t="shared" si="151"/>
        <v>45.4073801355872</v>
      </c>
      <c r="BK124" s="31">
        <f t="shared" si="157"/>
        <v>80.4924083154509</v>
      </c>
      <c r="BL124" s="32">
        <f t="shared" si="152"/>
        <v>29.3027811577797</v>
      </c>
      <c r="BM124" s="31">
        <f t="shared" si="153"/>
        <v>67.3604461939908</v>
      </c>
      <c r="BO124">
        <f t="shared" si="154"/>
        <v>0</v>
      </c>
      <c r="BP124">
        <f t="shared" si="155"/>
        <v>0</v>
      </c>
    </row>
    <row r="125" spans="14:68">
      <c r="N125" s="7">
        <v>7</v>
      </c>
      <c r="O125" s="18">
        <f t="shared" si="158"/>
        <v>117.489755493953</v>
      </c>
      <c r="P125" s="86" t="str">
        <f t="shared" si="105"/>
        <v>60</v>
      </c>
      <c r="Q125" s="4" t="str">
        <f t="shared" si="106"/>
        <v>1+0,964594276472604i</v>
      </c>
      <c r="R125" s="4">
        <f t="shared" si="118"/>
        <v>1.38940351165661</v>
      </c>
      <c r="S125" s="4">
        <f t="shared" si="119"/>
        <v>0.76737821313631</v>
      </c>
      <c r="T125" s="4" t="str">
        <f t="shared" si="107"/>
        <v>1+0,0115751313176713i</v>
      </c>
      <c r="U125" s="4">
        <f t="shared" si="120"/>
        <v>1.00006698958871</v>
      </c>
      <c r="V125" s="4">
        <f t="shared" si="121"/>
        <v>0.0115746143997201</v>
      </c>
      <c r="W125" t="str">
        <f t="shared" si="108"/>
        <v>1-0,0161483416820191i</v>
      </c>
      <c r="X125" s="4">
        <f t="shared" si="122"/>
        <v>1.00013037597059</v>
      </c>
      <c r="Y125" s="4">
        <f t="shared" si="123"/>
        <v>-0.016146938239621</v>
      </c>
      <c r="Z125" t="str">
        <f t="shared" si="109"/>
        <v>0,99999988731557+0,00430873536658422i</v>
      </c>
      <c r="AA125" s="4">
        <f t="shared" si="124"/>
        <v>1.00000916987376</v>
      </c>
      <c r="AB125" s="4">
        <f t="shared" si="125"/>
        <v>0.00430870918822106</v>
      </c>
      <c r="AC125" s="67" t="str">
        <f t="shared" si="126"/>
        <v>30,8192819630803-30,2610582483247i</v>
      </c>
      <c r="AD125" s="68">
        <f t="shared" si="127"/>
        <v>32.7080917176893</v>
      </c>
      <c r="AE125" s="31">
        <f t="shared" si="128"/>
        <v>-44.4763786132288</v>
      </c>
      <c r="AF125" s="32" t="str">
        <f t="shared" si="129"/>
        <v>326,048966736478</v>
      </c>
      <c r="AG125" s="32" t="str">
        <f t="shared" si="110"/>
        <v>1+0,620096320589532i</v>
      </c>
      <c r="AH125" s="32">
        <f t="shared" si="130"/>
        <v>1.17665604439389</v>
      </c>
      <c r="AI125" s="32">
        <f t="shared" si="131"/>
        <v>0.555065300030425</v>
      </c>
      <c r="AJ125" s="32" t="str">
        <f t="shared" si="111"/>
        <v>1+0,0115751313176713i</v>
      </c>
      <c r="AK125" s="32">
        <f t="shared" si="132"/>
        <v>1.00006698958871</v>
      </c>
      <c r="AL125" s="32">
        <f t="shared" si="133"/>
        <v>0.0115746143997201</v>
      </c>
      <c r="AM125" s="32" t="str">
        <f t="shared" si="112"/>
        <v>1-0,0019102996174721i</v>
      </c>
      <c r="AN125" s="32">
        <f t="shared" si="134"/>
        <v>1.00000182462065</v>
      </c>
      <c r="AO125" s="32">
        <f t="shared" si="135"/>
        <v>-0.00191029729376032</v>
      </c>
      <c r="AP125" s="30" t="str">
        <f t="shared" si="136"/>
        <v>236,912691840425-143,757480121677i</v>
      </c>
      <c r="AQ125" s="32">
        <f t="shared" si="137"/>
        <v>48.8532636562996</v>
      </c>
      <c r="AR125" s="31">
        <f t="shared" si="138"/>
        <v>-31.2491744638585</v>
      </c>
      <c r="AS125" t="str">
        <f t="shared" si="113"/>
        <v>-0,000100699300699301</v>
      </c>
      <c r="AT125" t="str">
        <f t="shared" si="114"/>
        <v>0,0001658757657577i</v>
      </c>
      <c r="AU125">
        <f t="shared" si="139"/>
        <v>0.0001658757657577</v>
      </c>
      <c r="AV125">
        <f t="shared" si="140"/>
        <v>1.5707963267949</v>
      </c>
      <c r="AW125" t="str">
        <f t="shared" si="115"/>
        <v>1+0,00849253496049727i</v>
      </c>
      <c r="AX125">
        <f t="shared" si="141"/>
        <v>1.00003606092483</v>
      </c>
      <c r="AY125">
        <f t="shared" si="142"/>
        <v>0.00849233079987425</v>
      </c>
      <c r="AZ125" t="str">
        <f t="shared" si="116"/>
        <v>1+0,40601544800505i</v>
      </c>
      <c r="BA125">
        <f t="shared" si="143"/>
        <v>1.0792814943372</v>
      </c>
      <c r="BB125">
        <f t="shared" si="144"/>
        <v>0.385681327499295</v>
      </c>
      <c r="BC125" s="30" t="str">
        <f t="shared" si="145"/>
        <v>-0,241309465979332+0,609125958017788i</v>
      </c>
      <c r="BD125" s="32">
        <f t="shared" si="146"/>
        <v>-3.67274832671437</v>
      </c>
      <c r="BE125" s="31">
        <f t="shared" si="147"/>
        <v>111.611337589651</v>
      </c>
      <c r="BF125" s="30" t="str">
        <f t="shared" si="148"/>
        <v>10,9958116237655+26,0751044570543i</v>
      </c>
      <c r="BG125" s="68">
        <f t="shared" si="149"/>
        <v>29.0353433909749</v>
      </c>
      <c r="BH125" s="31">
        <f t="shared" si="150"/>
        <v>67.1349589764221</v>
      </c>
      <c r="BI125" s="30" t="str">
        <f t="shared" si="156"/>
        <v>30,3971376496006+178,999711142568i</v>
      </c>
      <c r="BJ125" s="68">
        <f t="shared" si="151"/>
        <v>45.1805153295852</v>
      </c>
      <c r="BK125" s="31">
        <f t="shared" si="157"/>
        <v>80.3621631257923</v>
      </c>
      <c r="BL125" s="32">
        <f t="shared" si="152"/>
        <v>29.0353433909749</v>
      </c>
      <c r="BM125" s="31">
        <f t="shared" si="153"/>
        <v>67.1349589764221</v>
      </c>
      <c r="BO125">
        <f t="shared" si="154"/>
        <v>0</v>
      </c>
      <c r="BP125">
        <f t="shared" si="155"/>
        <v>0</v>
      </c>
    </row>
    <row r="126" spans="14:68">
      <c r="N126" s="7">
        <v>8</v>
      </c>
      <c r="O126" s="18">
        <f t="shared" si="158"/>
        <v>120.226443461741</v>
      </c>
      <c r="P126" s="86" t="str">
        <f t="shared" si="105"/>
        <v>60</v>
      </c>
      <c r="Q126" s="4" t="str">
        <f t="shared" si="106"/>
        <v>1+0,987062563508536i</v>
      </c>
      <c r="R126" s="4">
        <f t="shared" si="118"/>
        <v>1.40509519402781</v>
      </c>
      <c r="S126" s="4">
        <f t="shared" si="119"/>
        <v>0.778887420392407</v>
      </c>
      <c r="T126" s="4" t="str">
        <f t="shared" si="107"/>
        <v>1+0,0118447507621024i</v>
      </c>
      <c r="U126" s="4">
        <f t="shared" si="120"/>
        <v>1.00007014660004</v>
      </c>
      <c r="V126" s="4">
        <f t="shared" si="121"/>
        <v>0.0118441968766367</v>
      </c>
      <c r="W126" t="str">
        <f t="shared" si="108"/>
        <v>1-0,0165244848801652i</v>
      </c>
      <c r="X126" s="4">
        <f t="shared" si="122"/>
        <v>1.00013651998142</v>
      </c>
      <c r="Y126" s="4">
        <f t="shared" si="123"/>
        <v>-0.0165229810756281</v>
      </c>
      <c r="Z126" t="str">
        <f t="shared" si="109"/>
        <v>0,999999882004917+0,00440909870621786i</v>
      </c>
      <c r="AA126" s="4">
        <f t="shared" si="124"/>
        <v>1.00000960203453</v>
      </c>
      <c r="AB126" s="4">
        <f t="shared" si="125"/>
        <v>0.0044090706556109</v>
      </c>
      <c r="AC126" s="67" t="str">
        <f t="shared" si="126"/>
        <v>30,1227049812857-30,2783656407191i</v>
      </c>
      <c r="AD126" s="68">
        <f t="shared" si="127"/>
        <v>32.6106216201384</v>
      </c>
      <c r="AE126" s="31">
        <f t="shared" si="128"/>
        <v>-45.1476576323131</v>
      </c>
      <c r="AF126" s="32" t="str">
        <f t="shared" si="129"/>
        <v>326,048966736478</v>
      </c>
      <c r="AG126" s="32" t="str">
        <f t="shared" si="110"/>
        <v>1+0,634540219398345i</v>
      </c>
      <c r="AH126" s="32">
        <f t="shared" si="130"/>
        <v>1.18433157942955</v>
      </c>
      <c r="AI126" s="32">
        <f t="shared" si="131"/>
        <v>0.565430301637962</v>
      </c>
      <c r="AJ126" s="32" t="str">
        <f t="shared" si="111"/>
        <v>1+0,0118447507621024i</v>
      </c>
      <c r="AK126" s="32">
        <f t="shared" si="132"/>
        <v>1.00007014660004</v>
      </c>
      <c r="AL126" s="32">
        <f t="shared" si="133"/>
        <v>0.0118441968766367</v>
      </c>
      <c r="AM126" s="32" t="str">
        <f t="shared" si="112"/>
        <v>1-0,0019547962117158i</v>
      </c>
      <c r="AN126" s="32">
        <f t="shared" si="134"/>
        <v>1.00000191061229</v>
      </c>
      <c r="AO126" s="32">
        <f t="shared" si="135"/>
        <v>-0.00195479372181402</v>
      </c>
      <c r="AP126" s="30" t="str">
        <f t="shared" si="136"/>
        <v>233,917725668843-145,205595504845i</v>
      </c>
      <c r="AQ126" s="32">
        <f t="shared" si="137"/>
        <v>48.7968162322863</v>
      </c>
      <c r="AR126" s="31">
        <f t="shared" si="138"/>
        <v>-31.8301488299896</v>
      </c>
      <c r="AS126" t="str">
        <f t="shared" si="113"/>
        <v>-0,000100699300699301</v>
      </c>
      <c r="AT126" t="str">
        <f t="shared" si="114"/>
        <v>0,000169739508689057i</v>
      </c>
      <c r="AU126">
        <f t="shared" si="139"/>
        <v>0.000169739508689057</v>
      </c>
      <c r="AV126">
        <f t="shared" si="140"/>
        <v>1.5707963267949</v>
      </c>
      <c r="AW126" t="str">
        <f t="shared" si="115"/>
        <v>1+0,00869035151177614i</v>
      </c>
      <c r="AX126">
        <f t="shared" si="141"/>
        <v>1.00003776039178</v>
      </c>
      <c r="AY126">
        <f t="shared" si="142"/>
        <v>0.00869013275017333</v>
      </c>
      <c r="AZ126" t="str">
        <f t="shared" si="116"/>
        <v>1+0,415472762701297i</v>
      </c>
      <c r="BA126">
        <f t="shared" si="143"/>
        <v>1.08287470029854</v>
      </c>
      <c r="BB126">
        <f t="shared" si="144"/>
        <v>0.393773397715173</v>
      </c>
      <c r="BC126" s="30" t="str">
        <f t="shared" si="145"/>
        <v>-0,241308645816078+0,595354934729147i</v>
      </c>
      <c r="BD126" s="32">
        <f t="shared" si="146"/>
        <v>-3.84389355515033</v>
      </c>
      <c r="BE126" s="31">
        <f t="shared" si="147"/>
        <v>112.063645843613</v>
      </c>
      <c r="BF126" s="30" t="str">
        <f t="shared" si="148"/>
        <v>10,7575052523843+25,2401324682847i</v>
      </c>
      <c r="BG126" s="68">
        <f t="shared" si="149"/>
        <v>28.7667280649881</v>
      </c>
      <c r="BH126" s="31">
        <f t="shared" si="150"/>
        <v>66.9159882112994</v>
      </c>
      <c r="BI126" s="30" t="str">
        <f t="shared" si="156"/>
        <v>30,0024982205686+174,303437913756i</v>
      </c>
      <c r="BJ126" s="68">
        <f t="shared" si="151"/>
        <v>44.952922677136</v>
      </c>
      <c r="BK126" s="31">
        <f t="shared" si="157"/>
        <v>80.2334970136229</v>
      </c>
      <c r="BL126" s="32">
        <f t="shared" si="152"/>
        <v>28.7667280649881</v>
      </c>
      <c r="BM126" s="31">
        <f t="shared" si="153"/>
        <v>66.9159882112994</v>
      </c>
      <c r="BO126">
        <f t="shared" si="154"/>
        <v>0</v>
      </c>
      <c r="BP126">
        <f t="shared" si="155"/>
        <v>0</v>
      </c>
    </row>
    <row r="127" spans="14:68">
      <c r="N127" s="7">
        <v>9</v>
      </c>
      <c r="O127" s="18">
        <f t="shared" si="158"/>
        <v>123.026877081238</v>
      </c>
      <c r="P127" s="86" t="str">
        <f t="shared" si="105"/>
        <v>60</v>
      </c>
      <c r="Q127" s="4" t="str">
        <f t="shared" si="106"/>
        <v>1+1,01005420418096i</v>
      </c>
      <c r="R127" s="4">
        <f t="shared" si="118"/>
        <v>1.42134073866319</v>
      </c>
      <c r="S127" s="4">
        <f t="shared" si="119"/>
        <v>0.790400078425749</v>
      </c>
      <c r="T127" s="4" t="str">
        <f t="shared" si="107"/>
        <v>1+0,0121206504501716i</v>
      </c>
      <c r="U127" s="4">
        <f t="shared" si="120"/>
        <v>1.00007345238604</v>
      </c>
      <c r="V127" s="4">
        <f t="shared" si="121"/>
        <v>0.0121200569535565</v>
      </c>
      <c r="W127" t="str">
        <f t="shared" si="108"/>
        <v>1-0,0169093895789224i</v>
      </c>
      <c r="X127" s="4">
        <f t="shared" si="122"/>
        <v>1.00014295351011</v>
      </c>
      <c r="Y127" s="4">
        <f t="shared" si="123"/>
        <v>-0.0169077782357685</v>
      </c>
      <c r="Z127" t="str">
        <f t="shared" si="109"/>
        <v>0,99999987644398+0,00451179980834688i</v>
      </c>
      <c r="AA127" s="4">
        <f t="shared" si="124"/>
        <v>1.0000100545622</v>
      </c>
      <c r="AB127" s="4">
        <f t="shared" si="125"/>
        <v>0.00451176975159632</v>
      </c>
      <c r="AC127" s="67" t="str">
        <f t="shared" si="126"/>
        <v>29,4257101614604-30,2796388201916i</v>
      </c>
      <c r="AD127" s="68">
        <f t="shared" si="127"/>
        <v>32.5108531603888</v>
      </c>
      <c r="AE127" s="31">
        <f t="shared" si="128"/>
        <v>-45.8194102084617</v>
      </c>
      <c r="AF127" s="32" t="str">
        <f t="shared" si="129"/>
        <v>326,048966736478</v>
      </c>
      <c r="AG127" s="32" t="str">
        <f t="shared" si="110"/>
        <v>1+0,649320559830621i</v>
      </c>
      <c r="AH127" s="32">
        <f t="shared" si="130"/>
        <v>1.19231589330125</v>
      </c>
      <c r="AI127" s="32">
        <f t="shared" si="131"/>
        <v>0.575897434211292</v>
      </c>
      <c r="AJ127" s="32" t="str">
        <f t="shared" si="111"/>
        <v>1+0,0121206504501716i</v>
      </c>
      <c r="AK127" s="32">
        <f t="shared" si="132"/>
        <v>1.00007345238604</v>
      </c>
      <c r="AL127" s="32">
        <f t="shared" si="133"/>
        <v>0.0121200569535565</v>
      </c>
      <c r="AM127" s="32" t="str">
        <f t="shared" si="112"/>
        <v>1-0,00200032926478575i</v>
      </c>
      <c r="AN127" s="32">
        <f t="shared" si="134"/>
        <v>1.00000200065658</v>
      </c>
      <c r="AO127" s="32">
        <f t="shared" si="135"/>
        <v>-0.00200032659680821</v>
      </c>
      <c r="AP127" s="30" t="str">
        <f t="shared" si="136"/>
        <v>230,863449416443-146,604663953977i</v>
      </c>
      <c r="AQ127" s="32">
        <f t="shared" si="137"/>
        <v>48.7384852574932</v>
      </c>
      <c r="AR127" s="31">
        <f t="shared" si="138"/>
        <v>-32.416674573468</v>
      </c>
      <c r="AS127" t="str">
        <f t="shared" si="113"/>
        <v>-0,000100699300699301</v>
      </c>
      <c r="AT127" t="str">
        <f t="shared" si="114"/>
        <v>0,000173693249754691i</v>
      </c>
      <c r="AU127">
        <f t="shared" si="139"/>
        <v>0.000173693249754691</v>
      </c>
      <c r="AV127">
        <f t="shared" si="140"/>
        <v>1.5707963267949</v>
      </c>
      <c r="AW127" t="str">
        <f t="shared" si="115"/>
        <v>1+0,008892775802457i</v>
      </c>
      <c r="AX127">
        <f t="shared" si="141"/>
        <v>1.00003953994903</v>
      </c>
      <c r="AY127">
        <f t="shared" si="142"/>
        <v>0.0088925413956769</v>
      </c>
      <c r="AZ127" t="str">
        <f t="shared" si="116"/>
        <v>1+0,425150366555763i</v>
      </c>
      <c r="BA127">
        <f t="shared" si="143"/>
        <v>1.08662451388808</v>
      </c>
      <c r="BB127">
        <f t="shared" si="144"/>
        <v>0.401998002372152</v>
      </c>
      <c r="BC127" s="30" t="str">
        <f t="shared" si="145"/>
        <v>-0,241307787005695+0,581899575835403i</v>
      </c>
      <c r="BD127" s="32">
        <f t="shared" si="146"/>
        <v>-4.01388318883575</v>
      </c>
      <c r="BE127" s="31">
        <f t="shared" si="147"/>
        <v>112.523283817497</v>
      </c>
      <c r="BF127" s="30" t="str">
        <f t="shared" si="148"/>
        <v>10,5190559857857+24,4295208966415i</v>
      </c>
      <c r="BG127" s="68">
        <f t="shared" si="149"/>
        <v>28.4969699715531</v>
      </c>
      <c r="BH127" s="31">
        <f t="shared" si="150"/>
        <v>66.703873609035</v>
      </c>
      <c r="BI127" s="30" t="str">
        <f t="shared" si="156"/>
        <v>29,6000436911279+169,716190314774i</v>
      </c>
      <c r="BJ127" s="68">
        <f t="shared" si="151"/>
        <v>44.7246020686574</v>
      </c>
      <c r="BK127" s="31">
        <f t="shared" si="157"/>
        <v>80.1066092440287</v>
      </c>
      <c r="BL127" s="32">
        <f t="shared" si="152"/>
        <v>28.4969699715531</v>
      </c>
      <c r="BM127" s="31">
        <f t="shared" si="153"/>
        <v>66.703873609035</v>
      </c>
      <c r="BO127">
        <f t="shared" si="154"/>
        <v>0</v>
      </c>
      <c r="BP127">
        <f t="shared" si="155"/>
        <v>0</v>
      </c>
    </row>
    <row r="128" spans="14:68">
      <c r="N128" s="7">
        <v>10</v>
      </c>
      <c r="O128" s="18">
        <f t="shared" si="158"/>
        <v>125.892541179417</v>
      </c>
      <c r="P128" s="86" t="str">
        <f t="shared" si="105"/>
        <v>60</v>
      </c>
      <c r="Q128" s="4" t="str">
        <f t="shared" si="106"/>
        <v>1+1,0335813889621i</v>
      </c>
      <c r="R128" s="4">
        <f t="shared" si="118"/>
        <v>1.43815523765998</v>
      </c>
      <c r="S128" s="4">
        <f t="shared" si="119"/>
        <v>0.801910085257259</v>
      </c>
      <c r="T128" s="4" t="str">
        <f t="shared" si="107"/>
        <v>1+0,0124029766675452i</v>
      </c>
      <c r="U128" s="4">
        <f t="shared" si="120"/>
        <v>1.00007691395723</v>
      </c>
      <c r="V128" s="4">
        <f t="shared" si="121"/>
        <v>0.012402340727106</v>
      </c>
      <c r="W128" t="str">
        <f t="shared" si="108"/>
        <v>1-0,0173032598598566i</v>
      </c>
      <c r="X128" s="4">
        <f t="shared" si="122"/>
        <v>1.00014969019731</v>
      </c>
      <c r="Y128" s="4">
        <f t="shared" si="123"/>
        <v>-0.0173015332885162</v>
      </c>
      <c r="Z128" t="str">
        <f t="shared" si="109"/>
        <v>0,999999870620964+0,00461689312645503i</v>
      </c>
      <c r="AA128" s="4">
        <f t="shared" si="124"/>
        <v>1.00001052841662</v>
      </c>
      <c r="AB128" s="4">
        <f t="shared" si="125"/>
        <v>0.00461686092008486</v>
      </c>
      <c r="AC128" s="67" t="str">
        <f t="shared" si="126"/>
        <v>28,7290362123457-30,2648751182485i</v>
      </c>
      <c r="AD128" s="68">
        <f t="shared" si="127"/>
        <v>32.4087863494753</v>
      </c>
      <c r="AE128" s="31">
        <f t="shared" si="128"/>
        <v>-46.4912931363274</v>
      </c>
      <c r="AF128" s="32" t="str">
        <f t="shared" si="129"/>
        <v>326,048966736478</v>
      </c>
      <c r="AG128" s="32" t="str">
        <f t="shared" si="110"/>
        <v>1+0,664445178618492i</v>
      </c>
      <c r="AH128" s="32">
        <f t="shared" si="130"/>
        <v>1.20061958812496</v>
      </c>
      <c r="AI128" s="32">
        <f t="shared" si="131"/>
        <v>0.586463073014503</v>
      </c>
      <c r="AJ128" s="32" t="str">
        <f t="shared" si="111"/>
        <v>1+0,0124029766675452i</v>
      </c>
      <c r="AK128" s="32">
        <f t="shared" si="132"/>
        <v>1.00007691395723</v>
      </c>
      <c r="AL128" s="32">
        <f t="shared" si="133"/>
        <v>0.012402340727106</v>
      </c>
      <c r="AM128" s="32" t="str">
        <f t="shared" si="112"/>
        <v>1-0,00204692291890938i</v>
      </c>
      <c r="AN128" s="32">
        <f t="shared" si="134"/>
        <v>1.00000209494452</v>
      </c>
      <c r="AO128" s="32">
        <f t="shared" si="135"/>
        <v>-0.00204692006012027</v>
      </c>
      <c r="AP128" s="30" t="str">
        <f t="shared" si="136"/>
        <v>227,751417191176-147,951750451996i</v>
      </c>
      <c r="AQ128" s="32">
        <f t="shared" si="137"/>
        <v>48.6782343098771</v>
      </c>
      <c r="AR128" s="31">
        <f t="shared" si="138"/>
        <v>-33.0085370247029</v>
      </c>
      <c r="AS128" t="str">
        <f t="shared" si="113"/>
        <v>-0,000100699300699301</v>
      </c>
      <c r="AT128" t="str">
        <f t="shared" si="114"/>
        <v>0,000177739085280447i</v>
      </c>
      <c r="AU128">
        <f t="shared" si="139"/>
        <v>0.000177739085280447</v>
      </c>
      <c r="AV128">
        <f t="shared" si="140"/>
        <v>1.5707963267949</v>
      </c>
      <c r="AW128" t="str">
        <f t="shared" si="115"/>
        <v>1+0,00909991516057814i</v>
      </c>
      <c r="AX128">
        <f t="shared" si="141"/>
        <v>1.00004140337085</v>
      </c>
      <c r="AY128">
        <f t="shared" si="142"/>
        <v>0.00909966398974962</v>
      </c>
      <c r="AZ128" t="str">
        <f t="shared" si="116"/>
        <v>1+0,435053390762107i</v>
      </c>
      <c r="BA128">
        <f t="shared" si="143"/>
        <v>1.09053723128264</v>
      </c>
      <c r="BB128">
        <f t="shared" si="144"/>
        <v>0.410355050444407</v>
      </c>
      <c r="BC128" s="30" t="str">
        <f t="shared" si="145"/>
        <v>-0,241306887727377+0,568752747079125i</v>
      </c>
      <c r="BD128" s="32">
        <f t="shared" si="146"/>
        <v>-4.18267939825711</v>
      </c>
      <c r="BE128" s="31">
        <f t="shared" si="147"/>
        <v>112.990240150743</v>
      </c>
      <c r="BF128" s="30" t="str">
        <f t="shared" si="148"/>
        <v>10,2807165477022+23,6428410889496i</v>
      </c>
      <c r="BG128" s="68">
        <f t="shared" si="149"/>
        <v>28.2261069512182</v>
      </c>
      <c r="BH128" s="31">
        <f t="shared" si="150"/>
        <v>66.4989470144153</v>
      </c>
      <c r="BI128" s="30" t="str">
        <f t="shared" si="156"/>
        <v>29,1899788468358+165,236020614034i</v>
      </c>
      <c r="BJ128" s="68">
        <f t="shared" si="151"/>
        <v>44.49555491162</v>
      </c>
      <c r="BK128" s="31">
        <f t="shared" si="157"/>
        <v>79.9817031260397</v>
      </c>
      <c r="BL128" s="32">
        <f t="shared" si="152"/>
        <v>28.2261069512182</v>
      </c>
      <c r="BM128" s="31">
        <f t="shared" si="153"/>
        <v>66.4989470144153</v>
      </c>
      <c r="BO128">
        <f t="shared" si="154"/>
        <v>0</v>
      </c>
      <c r="BP128">
        <f t="shared" si="155"/>
        <v>0</v>
      </c>
    </row>
    <row r="129" spans="14:68">
      <c r="N129" s="7">
        <v>11</v>
      </c>
      <c r="O129" s="18">
        <f t="shared" si="158"/>
        <v>128.824955169313</v>
      </c>
      <c r="P129" s="86" t="str">
        <f t="shared" si="105"/>
        <v>60</v>
      </c>
      <c r="Q129" s="4" t="str">
        <f t="shared" si="106"/>
        <v>1+1,05765659227672i</v>
      </c>
      <c r="R129" s="4">
        <f t="shared" si="118"/>
        <v>1.45555400696312</v>
      </c>
      <c r="S129" s="4">
        <f t="shared" si="119"/>
        <v>0.813411345929182</v>
      </c>
      <c r="T129" s="4" t="str">
        <f t="shared" si="107"/>
        <v>1+0,0126918791073206i</v>
      </c>
      <c r="U129" s="4">
        <f t="shared" si="120"/>
        <v>1.0000805386544</v>
      </c>
      <c r="V129" s="4">
        <f t="shared" si="121"/>
        <v>0.0126911976878268</v>
      </c>
      <c r="W129" t="str">
        <f t="shared" si="108"/>
        <v>1-0,017706304558204i</v>
      </c>
      <c r="X129" s="4">
        <f t="shared" si="122"/>
        <v>1.00015674432616</v>
      </c>
      <c r="Y129" s="4">
        <f t="shared" si="123"/>
        <v>-0.0177044545193399</v>
      </c>
      <c r="Z129" t="str">
        <f t="shared" si="109"/>
        <v>0,999999864523518+0,00472443438241059i</v>
      </c>
      <c r="AA129" s="4">
        <f t="shared" si="124"/>
        <v>1.00001102460287</v>
      </c>
      <c r="AB129" s="4">
        <f t="shared" si="125"/>
        <v>0.00472439987268375</v>
      </c>
      <c r="AC129" s="67" t="str">
        <f t="shared" si="126"/>
        <v>28,033420482877-30,2341143440525i</v>
      </c>
      <c r="AD129" s="68">
        <f t="shared" si="127"/>
        <v>32.3044236453949</v>
      </c>
      <c r="AE129" s="31">
        <f t="shared" si="128"/>
        <v>-47.1629637612957</v>
      </c>
      <c r="AF129" s="32" t="str">
        <f t="shared" si="129"/>
        <v>326,048966736478</v>
      </c>
      <c r="AG129" s="32" t="str">
        <f t="shared" si="110"/>
        <v>1+0,679922095035033i</v>
      </c>
      <c r="AH129" s="32">
        <f t="shared" si="130"/>
        <v>1.20925351159996</v>
      </c>
      <c r="AI129" s="32">
        <f t="shared" si="131"/>
        <v>0.597123384168239</v>
      </c>
      <c r="AJ129" s="32" t="str">
        <f t="shared" si="111"/>
        <v>1+0,0126918791073206i</v>
      </c>
      <c r="AK129" s="32">
        <f t="shared" si="132"/>
        <v>1.0000805386544</v>
      </c>
      <c r="AL129" s="32">
        <f t="shared" si="133"/>
        <v>0.0126911976878268</v>
      </c>
      <c r="AM129" s="32" t="str">
        <f t="shared" si="112"/>
        <v>1-0,00209460187865882i</v>
      </c>
      <c r="AN129" s="32">
        <f t="shared" si="134"/>
        <v>1.00000219367611</v>
      </c>
      <c r="AO129" s="32">
        <f t="shared" si="135"/>
        <v>-0.00209459881541146</v>
      </c>
      <c r="AP129" s="30" t="str">
        <f t="shared" si="136"/>
        <v>224,583367119314-149,243962191161i</v>
      </c>
      <c r="AQ129" s="32">
        <f t="shared" si="137"/>
        <v>48.6160279960982</v>
      </c>
      <c r="AR129" s="31">
        <f t="shared" si="138"/>
        <v>-33.6055093688265</v>
      </c>
      <c r="AS129" t="str">
        <f t="shared" si="113"/>
        <v>-0,000100699300699301</v>
      </c>
      <c r="AT129" t="str">
        <f t="shared" si="114"/>
        <v>0,000181879160421871i</v>
      </c>
      <c r="AU129">
        <f t="shared" si="139"/>
        <v>0.000181879160421871</v>
      </c>
      <c r="AV129">
        <f t="shared" si="140"/>
        <v>1.5707963267949</v>
      </c>
      <c r="AW129" t="str">
        <f t="shared" si="115"/>
        <v>1+0,00931187941416894i</v>
      </c>
      <c r="AX129">
        <f t="shared" si="141"/>
        <v>1.0000433546093</v>
      </c>
      <c r="AY129">
        <f t="shared" si="142"/>
        <v>0.00931161028040742</v>
      </c>
      <c r="AZ129" t="str">
        <f t="shared" si="116"/>
        <v>1+0,445187086034842i</v>
      </c>
      <c r="BA129">
        <f t="shared" si="143"/>
        <v>1.0946193592168</v>
      </c>
      <c r="BB129">
        <f t="shared" si="144"/>
        <v>0.418844302631552</v>
      </c>
      <c r="BC129" s="30" t="str">
        <f t="shared" si="145"/>
        <v>-0,241305946074565+0,555907477786212i</v>
      </c>
      <c r="BD129" s="32">
        <f t="shared" si="146"/>
        <v>-4.35024379375274</v>
      </c>
      <c r="BE129" s="31">
        <f t="shared" si="147"/>
        <v>113.46449484435</v>
      </c>
      <c r="BF129" s="30" t="str">
        <f t="shared" si="148"/>
        <v>10,0427391967754+22,8796596398746i</v>
      </c>
      <c r="BG129" s="68">
        <f t="shared" si="149"/>
        <v>27.9541798516421</v>
      </c>
      <c r="BH129" s="31">
        <f t="shared" si="150"/>
        <v>66.3015310830545</v>
      </c>
      <c r="BI129" s="30" t="str">
        <f t="shared" si="156"/>
        <v>28,7725327211717+160,861028660487i</v>
      </c>
      <c r="BJ129" s="68">
        <f t="shared" si="151"/>
        <v>44.2657842023454</v>
      </c>
      <c r="BK129" s="31">
        <f t="shared" si="157"/>
        <v>79.8589854755237</v>
      </c>
      <c r="BL129" s="32">
        <f t="shared" si="152"/>
        <v>27.9541798516421</v>
      </c>
      <c r="BM129" s="31">
        <f t="shared" si="153"/>
        <v>66.3015310830545</v>
      </c>
      <c r="BO129">
        <f t="shared" si="154"/>
        <v>0</v>
      </c>
      <c r="BP129">
        <f t="shared" si="155"/>
        <v>0</v>
      </c>
    </row>
    <row r="130" spans="14:68">
      <c r="N130" s="7">
        <v>12</v>
      </c>
      <c r="O130" s="18">
        <f t="shared" si="158"/>
        <v>131.825673855641</v>
      </c>
      <c r="P130" s="86" t="str">
        <f t="shared" si="105"/>
        <v>60</v>
      </c>
      <c r="Q130" s="4" t="str">
        <f t="shared" si="106"/>
        <v>1+1,08229257911631i</v>
      </c>
      <c r="R130" s="4">
        <f t="shared" si="118"/>
        <v>1.47355258705288</v>
      </c>
      <c r="S130" s="4">
        <f t="shared" si="119"/>
        <v>0.824897788619286</v>
      </c>
      <c r="T130" s="4" t="str">
        <f t="shared" si="107"/>
        <v>1+0,0129875109493958i</v>
      </c>
      <c r="U130" s="4">
        <f t="shared" si="120"/>
        <v>1.0000843341642</v>
      </c>
      <c r="V130" s="4">
        <f t="shared" si="121"/>
        <v>0.0129867807985787</v>
      </c>
      <c r="W130" t="str">
        <f t="shared" si="108"/>
        <v>1-0,018118737373599i</v>
      </c>
      <c r="X130" s="4">
        <f t="shared" si="122"/>
        <v>1.00016413085254</v>
      </c>
      <c r="Y130" s="4">
        <f t="shared" si="123"/>
        <v>-0.0181167550388099</v>
      </c>
      <c r="Z130" t="str">
        <f t="shared" si="109"/>
        <v>0,999999858138708+0,00483448059601103i</v>
      </c>
      <c r="AA130" s="4">
        <f t="shared" si="124"/>
        <v>1.0000115441734</v>
      </c>
      <c r="AB130" s="4">
        <f t="shared" si="125"/>
        <v>0.00483444361819556</v>
      </c>
      <c r="AC130" s="67" t="str">
        <f t="shared" si="126"/>
        <v>27,3395958453803-30,1874385284092i</v>
      </c>
      <c r="AD130" s="68">
        <f t="shared" si="127"/>
        <v>32.1977699438384</v>
      </c>
      <c r="AE130" s="31">
        <f t="shared" si="128"/>
        <v>-47.8340809061525</v>
      </c>
      <c r="AF130" s="32" t="str">
        <f t="shared" si="129"/>
        <v>326,048966736478</v>
      </c>
      <c r="AG130" s="32" t="str">
        <f t="shared" si="110"/>
        <v>1+0,695759515146202i</v>
      </c>
      <c r="AH130" s="32">
        <f t="shared" si="130"/>
        <v>1.2182287563986</v>
      </c>
      <c r="AI130" s="32">
        <f t="shared" si="131"/>
        <v>0.607874328158562</v>
      </c>
      <c r="AJ130" s="32" t="str">
        <f t="shared" si="111"/>
        <v>1+0,0129875109493958i</v>
      </c>
      <c r="AK130" s="32">
        <f t="shared" si="132"/>
        <v>1.0000843341642</v>
      </c>
      <c r="AL130" s="32">
        <f t="shared" si="133"/>
        <v>0.0129867807985787</v>
      </c>
      <c r="AM130" s="32" t="str">
        <f t="shared" si="112"/>
        <v>1-0,00214339142404969i</v>
      </c>
      <c r="AN130" s="32">
        <f t="shared" si="134"/>
        <v>1.00000229706076</v>
      </c>
      <c r="AO130" s="32">
        <f t="shared" si="135"/>
        <v>-0.00214338814172141</v>
      </c>
      <c r="AP130" s="30" t="str">
        <f t="shared" si="136"/>
        <v>221,361221285609-150,47846202744i</v>
      </c>
      <c r="AQ130" s="32">
        <f t="shared" si="137"/>
        <v>48.551832066368</v>
      </c>
      <c r="AR130" s="31">
        <f t="shared" si="138"/>
        <v>-34.2073528429949</v>
      </c>
      <c r="AS130" t="str">
        <f t="shared" si="113"/>
        <v>-0,000100699300699301</v>
      </c>
      <c r="AT130" t="str">
        <f t="shared" si="114"/>
        <v>0,000186115670301609i</v>
      </c>
      <c r="AU130">
        <f t="shared" si="139"/>
        <v>0.000186115670301609</v>
      </c>
      <c r="AV130">
        <f t="shared" si="140"/>
        <v>1.5707963267949</v>
      </c>
      <c r="AW130" t="str">
        <f t="shared" si="115"/>
        <v>1+0,00952878094948255i</v>
      </c>
      <c r="AX130">
        <f t="shared" si="141"/>
        <v>1.00004539780271</v>
      </c>
      <c r="AY130">
        <f t="shared" si="142"/>
        <v>0.00952849256816843</v>
      </c>
      <c r="AZ130" t="str">
        <f t="shared" si="116"/>
        <v>1+0,455556825393346i</v>
      </c>
      <c r="BA130">
        <f t="shared" si="143"/>
        <v>1.09887761882862</v>
      </c>
      <c r="BB130">
        <f t="shared" si="144"/>
        <v>0.427465364613342</v>
      </c>
      <c r="BC130" s="30" t="str">
        <f t="shared" si="145"/>
        <v>-0,241304960050897+0,543356957169676i</v>
      </c>
      <c r="BD130" s="32">
        <f t="shared" si="146"/>
        <v>-4.51653747293913</v>
      </c>
      <c r="BE130" s="31">
        <f t="shared" si="147"/>
        <v>113.946018871088</v>
      </c>
      <c r="BF130" s="30" t="str">
        <f t="shared" si="148"/>
        <v>9,8053746602659+22,1395382569312i</v>
      </c>
      <c r="BG130" s="68">
        <f t="shared" si="149"/>
        <v>27.6812324708992</v>
      </c>
      <c r="BH130" s="31">
        <f t="shared" si="150"/>
        <v>66.111937964935</v>
      </c>
      <c r="BI130" s="30" t="str">
        <f t="shared" si="156"/>
        <v>28,3479585876608+156,589358901164i</v>
      </c>
      <c r="BJ130" s="68">
        <f t="shared" si="151"/>
        <v>44.0352945934289</v>
      </c>
      <c r="BK130" s="31">
        <f t="shared" si="157"/>
        <v>79.7386660280927</v>
      </c>
      <c r="BL130" s="32">
        <f t="shared" si="152"/>
        <v>27.6812324708992</v>
      </c>
      <c r="BM130" s="31">
        <f t="shared" si="153"/>
        <v>66.111937964935</v>
      </c>
      <c r="BO130">
        <f t="shared" si="154"/>
        <v>0</v>
      </c>
      <c r="BP130">
        <f t="shared" si="155"/>
        <v>0</v>
      </c>
    </row>
    <row r="131" spans="14:68">
      <c r="N131" s="7">
        <v>13</v>
      </c>
      <c r="O131" s="18">
        <f t="shared" si="158"/>
        <v>134.896288259165</v>
      </c>
      <c r="P131" s="86" t="str">
        <f t="shared" si="105"/>
        <v>60</v>
      </c>
      <c r="Q131" s="4" t="str">
        <f t="shared" si="106"/>
        <v>1+1,10750241180718i</v>
      </c>
      <c r="R131" s="4">
        <f t="shared" si="118"/>
        <v>1.49216674408684</v>
      </c>
      <c r="S131" s="4">
        <f t="shared" si="119"/>
        <v>0.836363380605917</v>
      </c>
      <c r="T131" s="4" t="str">
        <f t="shared" si="107"/>
        <v>1+0,0132900289416862i</v>
      </c>
      <c r="U131" s="4">
        <f t="shared" si="120"/>
        <v>1.00008830853544</v>
      </c>
      <c r="V131" s="4">
        <f t="shared" si="121"/>
        <v>0.013289246574721</v>
      </c>
      <c r="W131" t="str">
        <f t="shared" si="108"/>
        <v>1-0,0185407769833792i</v>
      </c>
      <c r="X131" s="4">
        <f t="shared" si="122"/>
        <v>1.00017186543671</v>
      </c>
      <c r="Y131" s="4">
        <f t="shared" si="123"/>
        <v>-0.0185386528930959</v>
      </c>
      <c r="Z131" t="str">
        <f t="shared" si="109"/>
        <v>0,999999851452991+0,00494709011521535i</v>
      </c>
      <c r="AA131" s="4">
        <f t="shared" si="124"/>
        <v>1.00001208823024</v>
      </c>
      <c r="AB131" s="4">
        <f t="shared" si="125"/>
        <v>0.00494705049279807</v>
      </c>
      <c r="AC131" s="67" t="str">
        <f t="shared" si="126"/>
        <v>26,6482876189334-30,1249713967541i</v>
      </c>
      <c r="AD131" s="68">
        <f t="shared" si="127"/>
        <v>32.0888325587029</v>
      </c>
      <c r="AE131" s="31">
        <f t="shared" si="128"/>
        <v>-48.5043057892802</v>
      </c>
      <c r="AF131" s="32" t="str">
        <f t="shared" si="129"/>
        <v>326,048966736478</v>
      </c>
      <c r="AG131" s="32" t="str">
        <f t="shared" si="110"/>
        <v>1+0,711965836161761i</v>
      </c>
      <c r="AH131" s="32">
        <f t="shared" si="130"/>
        <v>1.22755665932841</v>
      </c>
      <c r="AI131" s="32">
        <f t="shared" si="131"/>
        <v>0.618711664320338</v>
      </c>
      <c r="AJ131" s="32" t="str">
        <f t="shared" si="111"/>
        <v>1+0,0132900289416862i</v>
      </c>
      <c r="AK131" s="32">
        <f t="shared" si="132"/>
        <v>1.00008830853544</v>
      </c>
      <c r="AL131" s="32">
        <f t="shared" si="133"/>
        <v>0.013289246574721</v>
      </c>
      <c r="AM131" s="32" t="str">
        <f t="shared" si="112"/>
        <v>1-0,0021933174239447i</v>
      </c>
      <c r="AN131" s="32">
        <f t="shared" si="134"/>
        <v>1.00000240531777</v>
      </c>
      <c r="AO131" s="32">
        <f t="shared" si="135"/>
        <v>-0.00219331390686704</v>
      </c>
      <c r="AP131" s="30" t="str">
        <f t="shared" si="136"/>
        <v>218,087084540993-151,652482176776i</v>
      </c>
      <c r="AQ131" s="32">
        <f t="shared" si="137"/>
        <v>48.4856135289189</v>
      </c>
      <c r="AR131" s="31">
        <f t="shared" si="138"/>
        <v>-34.8138169894408</v>
      </c>
      <c r="AS131" t="str">
        <f t="shared" si="113"/>
        <v>-0,000100699300699301</v>
      </c>
      <c r="AT131" t="str">
        <f t="shared" si="114"/>
        <v>0,000190450861173271i</v>
      </c>
      <c r="AU131">
        <f t="shared" si="139"/>
        <v>0.000190450861173271</v>
      </c>
      <c r="AV131">
        <f t="shared" si="140"/>
        <v>1.5707963267949</v>
      </c>
      <c r="AW131" t="str">
        <f t="shared" si="115"/>
        <v>1+0,0097507347705838i</v>
      </c>
      <c r="AX131">
        <f t="shared" si="141"/>
        <v>1.00004753728439</v>
      </c>
      <c r="AY131">
        <f t="shared" si="142"/>
        <v>0.00975042576523177</v>
      </c>
      <c r="AZ131" t="str">
        <f t="shared" si="116"/>
        <v>1+0,466168107010676i</v>
      </c>
      <c r="BA131">
        <f t="shared" si="143"/>
        <v>1.10331894934961</v>
      </c>
      <c r="BB131">
        <f t="shared" si="144"/>
        <v>0.436217680426432</v>
      </c>
      <c r="BC131" s="30" t="str">
        <f t="shared" si="145"/>
        <v>-0,241303927566003+0,531094530718263i</v>
      </c>
      <c r="BD131" s="32">
        <f t="shared" si="146"/>
        <v>-4.68152107293187</v>
      </c>
      <c r="BE131" s="31">
        <f t="shared" si="147"/>
        <v>114.434773792618</v>
      </c>
      <c r="BF131" s="30" t="str">
        <f t="shared" si="148"/>
        <v>9,56887108150309+21,422033723273i</v>
      </c>
      <c r="BG131" s="68">
        <f t="shared" si="149"/>
        <v>27.407311485771</v>
      </c>
      <c r="BH131" s="31">
        <f t="shared" si="150"/>
        <v>65.9304680033375</v>
      </c>
      <c r="BI131" s="30" t="str">
        <f t="shared" si="156"/>
        <v>27,916533802774+152,419197394402i</v>
      </c>
      <c r="BJ131" s="68">
        <f t="shared" si="151"/>
        <v>43.804092455987</v>
      </c>
      <c r="BK131" s="31">
        <f t="shared" si="157"/>
        <v>79.6209568031768</v>
      </c>
      <c r="BL131" s="32">
        <f t="shared" si="152"/>
        <v>27.407311485771</v>
      </c>
      <c r="BM131" s="31">
        <f t="shared" si="153"/>
        <v>65.9304680033375</v>
      </c>
      <c r="BO131">
        <f t="shared" si="154"/>
        <v>0</v>
      </c>
      <c r="BP131">
        <f t="shared" si="155"/>
        <v>0</v>
      </c>
    </row>
    <row r="132" spans="14:68">
      <c r="N132" s="7">
        <v>14</v>
      </c>
      <c r="O132" s="18">
        <f t="shared" si="158"/>
        <v>138.038426460289</v>
      </c>
      <c r="P132" s="86" t="str">
        <f t="shared" si="105"/>
        <v>60</v>
      </c>
      <c r="Q132" s="4" t="str">
        <f t="shared" si="106"/>
        <v>1+1,13329945693633i</v>
      </c>
      <c r="R132" s="4">
        <f t="shared" si="118"/>
        <v>1.5114124715286</v>
      </c>
      <c r="S132" s="4">
        <f t="shared" si="119"/>
        <v>0.847802143982066</v>
      </c>
      <c r="T132" s="4" t="str">
        <f t="shared" si="107"/>
        <v>1+0,013599593483236i</v>
      </c>
      <c r="U132" s="4">
        <f t="shared" si="120"/>
        <v>1.00009247019609</v>
      </c>
      <c r="V132" s="4">
        <f t="shared" si="121"/>
        <v>0.0135987551661153</v>
      </c>
      <c r="W132" t="str">
        <f t="shared" si="108"/>
        <v>1-0,0189726471585323i</v>
      </c>
      <c r="X132" s="4">
        <f t="shared" si="122"/>
        <v>1.00017996447649</v>
      </c>
      <c r="Y132" s="4">
        <f t="shared" si="123"/>
        <v>-0.0189703711769052</v>
      </c>
      <c r="Z132" t="str">
        <f t="shared" si="109"/>
        <v>0,999999844452186+0,00506232264708129i</v>
      </c>
      <c r="AA132" s="4">
        <f t="shared" si="124"/>
        <v>1.00001265792738</v>
      </c>
      <c r="AB132" s="4">
        <f t="shared" si="125"/>
        <v>0.00506228019092528</v>
      </c>
      <c r="AC132" s="67" t="str">
        <f t="shared" si="126"/>
        <v>25,9602105602095-30,0468775774419i</v>
      </c>
      <c r="AD132" s="68">
        <f t="shared" si="127"/>
        <v>31.9776211925627</v>
      </c>
      <c r="AE132" s="31">
        <f t="shared" si="128"/>
        <v>-49.1733029285508</v>
      </c>
      <c r="AF132" s="32" t="str">
        <f t="shared" si="129"/>
        <v>326,048966736478</v>
      </c>
      <c r="AG132" s="32" t="str">
        <f t="shared" si="110"/>
        <v>1+0,728549650887642i</v>
      </c>
      <c r="AH132" s="32">
        <f t="shared" si="130"/>
        <v>1.23724880028574</v>
      </c>
      <c r="AI132" s="32">
        <f t="shared" si="131"/>
        <v>0.629630956308789</v>
      </c>
      <c r="AJ132" s="32" t="str">
        <f t="shared" si="111"/>
        <v>1+0,013599593483236i</v>
      </c>
      <c r="AK132" s="32">
        <f t="shared" si="132"/>
        <v>1.00009247019609</v>
      </c>
      <c r="AL132" s="32">
        <f t="shared" si="133"/>
        <v>0.0135987551661153</v>
      </c>
      <c r="AM132" s="32" t="str">
        <f t="shared" si="112"/>
        <v>1-0,0022444063497699i</v>
      </c>
      <c r="AN132" s="32">
        <f t="shared" si="134"/>
        <v>1.00000251867676</v>
      </c>
      <c r="AO132" s="32">
        <f t="shared" si="135"/>
        <v>-0.0022444025811538</v>
      </c>
      <c r="AP132" s="30" t="str">
        <f t="shared" si="136"/>
        <v>214,763242131488-152,763338046428i</v>
      </c>
      <c r="AQ132" s="32">
        <f t="shared" si="137"/>
        <v>48.4173407633694</v>
      </c>
      <c r="AR132" s="31">
        <f t="shared" si="138"/>
        <v>-35.4246399650578</v>
      </c>
      <c r="AS132" t="str">
        <f t="shared" si="113"/>
        <v>-0,000100699300699301</v>
      </c>
      <c r="AT132" t="str">
        <f t="shared" si="114"/>
        <v>0,000194887031612444i</v>
      </c>
      <c r="AU132">
        <f t="shared" si="139"/>
        <v>0.000194887031612444</v>
      </c>
      <c r="AV132">
        <f t="shared" si="140"/>
        <v>1.5707963267949</v>
      </c>
      <c r="AW132" t="str">
        <f t="shared" si="115"/>
        <v>1+0,00997785856032675i</v>
      </c>
      <c r="AX132">
        <f t="shared" si="141"/>
        <v>1.00004977759182</v>
      </c>
      <c r="AY132">
        <f t="shared" si="142"/>
        <v>0.00997752745601673</v>
      </c>
      <c r="AZ132" t="str">
        <f t="shared" si="116"/>
        <v>1+0,477026557128812i</v>
      </c>
      <c r="BA132">
        <f t="shared" si="143"/>
        <v>1.10795051162323</v>
      </c>
      <c r="BB132">
        <f t="shared" si="144"/>
        <v>0.445100526007049</v>
      </c>
      <c r="BC132" s="30" t="str">
        <f t="shared" si="145"/>
        <v>-0,241302846431065+0,51911369666781i</v>
      </c>
      <c r="BD132" s="32">
        <f t="shared" si="146"/>
        <v>-4.84515482745151</v>
      </c>
      <c r="BE132" s="31">
        <f t="shared" si="147"/>
        <v>114.930711386051</v>
      </c>
      <c r="BF132" s="30" t="str">
        <f t="shared" si="148"/>
        <v>9,33347299042265+20,7266979559875i</v>
      </c>
      <c r="BG132" s="68">
        <f t="shared" si="149"/>
        <v>27.1324663651112</v>
      </c>
      <c r="BH132" s="31">
        <f t="shared" si="150"/>
        <v>65.7574084575004</v>
      </c>
      <c r="BI132" s="30" t="str">
        <f t="shared" si="156"/>
        <v>27,4785594935035+148,348768832155i</v>
      </c>
      <c r="BJ132" s="68">
        <f t="shared" si="151"/>
        <v>43.572185935918</v>
      </c>
      <c r="BK132" s="31">
        <f t="shared" si="157"/>
        <v>79.5060714209935</v>
      </c>
      <c r="BL132" s="32">
        <f t="shared" si="152"/>
        <v>27.1324663651112</v>
      </c>
      <c r="BM132" s="31">
        <f t="shared" si="153"/>
        <v>65.7574084575004</v>
      </c>
      <c r="BO132">
        <f t="shared" si="154"/>
        <v>0</v>
      </c>
      <c r="BP132">
        <f t="shared" si="155"/>
        <v>0</v>
      </c>
    </row>
    <row r="133" spans="14:68">
      <c r="N133" s="7">
        <v>15</v>
      </c>
      <c r="O133" s="18">
        <f t="shared" si="158"/>
        <v>141.253754462275</v>
      </c>
      <c r="P133" s="86" t="str">
        <f t="shared" si="105"/>
        <v>60</v>
      </c>
      <c r="Q133" s="4" t="str">
        <f t="shared" si="106"/>
        <v>1+1,15969739243852i</v>
      </c>
      <c r="R133" s="4">
        <f t="shared" si="118"/>
        <v>1.53130599229178</v>
      </c>
      <c r="S133" s="4">
        <f t="shared" si="119"/>
        <v>0.859208171019347</v>
      </c>
      <c r="T133" s="4" t="str">
        <f t="shared" si="107"/>
        <v>1+0,0139163687092623i</v>
      </c>
      <c r="U133" s="4">
        <f t="shared" si="120"/>
        <v>1.0000968279712</v>
      </c>
      <c r="V133" s="4">
        <f t="shared" si="121"/>
        <v>0.0139154704409806</v>
      </c>
      <c r="W133" t="str">
        <f t="shared" si="108"/>
        <v>1-0,0194145768823414i</v>
      </c>
      <c r="X133" s="4">
        <f t="shared" si="122"/>
        <v>1.00018844514197</v>
      </c>
      <c r="Y133" s="4">
        <f t="shared" si="123"/>
        <v>-0.0194121381489052</v>
      </c>
      <c r="Z133" t="str">
        <f t="shared" si="109"/>
        <v>0,999999837121444+0,0051802392894224i</v>
      </c>
      <c r="AA133" s="4">
        <f t="shared" si="124"/>
        <v>1.00001325447316</v>
      </c>
      <c r="AB133" s="4">
        <f t="shared" si="125"/>
        <v>0.00518019379686417</v>
      </c>
      <c r="AC133" s="67" t="str">
        <f t="shared" si="126"/>
        <v>25,2760659481026-29,9533615547366i</v>
      </c>
      <c r="AD133" s="68">
        <f t="shared" si="127"/>
        <v>31.8641478973681</v>
      </c>
      <c r="AE133" s="31">
        <f t="shared" si="128"/>
        <v>-49.8407410252334</v>
      </c>
      <c r="AF133" s="32" t="str">
        <f t="shared" si="129"/>
        <v>326,048966736478</v>
      </c>
      <c r="AG133" s="32" t="str">
        <f t="shared" si="110"/>
        <v>1+0,745519752281908i</v>
      </c>
      <c r="AH133" s="32">
        <f t="shared" si="130"/>
        <v>1.24731700102359</v>
      </c>
      <c r="AI133" s="32">
        <f t="shared" si="131"/>
        <v>0.640627578564725</v>
      </c>
      <c r="AJ133" s="32" t="str">
        <f t="shared" si="111"/>
        <v>1+0,0139163687092623i</v>
      </c>
      <c r="AK133" s="32">
        <f t="shared" si="132"/>
        <v>1.0000968279712</v>
      </c>
      <c r="AL133" s="32">
        <f t="shared" si="133"/>
        <v>0.0139154704409806</v>
      </c>
      <c r="AM133" s="32" t="str">
        <f t="shared" si="112"/>
        <v>1-0,00229668528954995i</v>
      </c>
      <c r="AN133" s="32">
        <f t="shared" si="134"/>
        <v>1.00000263737818</v>
      </c>
      <c r="AO133" s="32">
        <f t="shared" si="135"/>
        <v>-0.00229668125140562</v>
      </c>
      <c r="AP133" s="30" t="str">
        <f t="shared" si="136"/>
        <v>211,392156113212-153,808442087058i</v>
      </c>
      <c r="AQ133" s="32">
        <f t="shared" si="137"/>
        <v>48.3469836322452</v>
      </c>
      <c r="AR133" s="31">
        <f t="shared" si="138"/>
        <v>-36.0395489078294</v>
      </c>
      <c r="AS133" t="str">
        <f t="shared" si="113"/>
        <v>-0,000100699300699301</v>
      </c>
      <c r="AT133" t="str">
        <f t="shared" si="114"/>
        <v>0,00019942653373541i</v>
      </c>
      <c r="AU133">
        <f t="shared" si="139"/>
        <v>0.00019942653373541</v>
      </c>
      <c r="AV133">
        <f t="shared" si="140"/>
        <v>1.5707963267949</v>
      </c>
      <c r="AW133" t="str">
        <f t="shared" si="115"/>
        <v>1+0,0102102727427508i</v>
      </c>
      <c r="AX133">
        <f t="shared" si="141"/>
        <v>1.00005212347631</v>
      </c>
      <c r="AY133">
        <f t="shared" si="142"/>
        <v>0.0102099179590893</v>
      </c>
      <c r="AZ133" t="str">
        <f t="shared" si="116"/>
        <v>1+0,488137933041725i</v>
      </c>
      <c r="BA133">
        <f t="shared" si="143"/>
        <v>1.11277969143683</v>
      </c>
      <c r="BB133">
        <f t="shared" si="144"/>
        <v>0.454113002945814</v>
      </c>
      <c r="BC133" s="30" t="str">
        <f t="shared" si="145"/>
        <v>-0,241301714354191+0,507408102553666i</v>
      </c>
      <c r="BD133" s="32">
        <f t="shared" si="146"/>
        <v>-5.0073986288702</v>
      </c>
      <c r="BE133" s="31">
        <f t="shared" si="147"/>
        <v>115.433773282577</v>
      </c>
      <c r="BF133" s="30" t="str">
        <f t="shared" si="148"/>
        <v>9,09942030618608+20,0530781565769i</v>
      </c>
      <c r="BG133" s="68">
        <f t="shared" si="149"/>
        <v>26.8567492684979</v>
      </c>
      <c r="BH133" s="31">
        <f t="shared" si="150"/>
        <v>65.5930322573431</v>
      </c>
      <c r="BI133" s="30" t="str">
        <f t="shared" si="156"/>
        <v>27,0343600849827+144,376333585888i</v>
      </c>
      <c r="BJ133" s="68">
        <f t="shared" si="151"/>
        <v>43.339585003375</v>
      </c>
      <c r="BK133" s="31">
        <f t="shared" si="157"/>
        <v>79.3942243747471</v>
      </c>
      <c r="BL133" s="32">
        <f t="shared" si="152"/>
        <v>26.8567492684979</v>
      </c>
      <c r="BM133" s="31">
        <f t="shared" si="153"/>
        <v>65.5930322573431</v>
      </c>
      <c r="BO133">
        <f t="shared" si="154"/>
        <v>0</v>
      </c>
      <c r="BP133">
        <f t="shared" si="155"/>
        <v>0</v>
      </c>
    </row>
    <row r="134" spans="14:68">
      <c r="N134" s="7">
        <v>16</v>
      </c>
      <c r="O134" s="18">
        <f t="shared" si="158"/>
        <v>144.543977074593</v>
      </c>
      <c r="P134" s="86" t="str">
        <f t="shared" si="105"/>
        <v>60</v>
      </c>
      <c r="Q134" s="4" t="str">
        <f t="shared" si="106"/>
        <v>1+1,18671021484861i</v>
      </c>
      <c r="R134" s="4">
        <f t="shared" si="118"/>
        <v>1.55186376142561</v>
      </c>
      <c r="S134" s="4">
        <f t="shared" si="119"/>
        <v>0.870575639087208</v>
      </c>
      <c r="T134" s="4" t="str">
        <f t="shared" si="107"/>
        <v>1+0,0142405225781833i</v>
      </c>
      <c r="U134" s="4">
        <f t="shared" si="120"/>
        <v>1.00010139110157</v>
      </c>
      <c r="V134" s="4">
        <f t="shared" si="121"/>
        <v>0.0142395600716483</v>
      </c>
      <c r="W134" t="str">
        <f t="shared" si="108"/>
        <v>1-0,0198668004717959i</v>
      </c>
      <c r="X134" s="4">
        <f t="shared" si="122"/>
        <v>1.00019732541183</v>
      </c>
      <c r="Y134" s="4">
        <f t="shared" si="123"/>
        <v>-0.0198641873496816</v>
      </c>
      <c r="Z134" t="str">
        <f t="shared" si="109"/>
        <v>0,999999829445214+0,00530090256320341i</v>
      </c>
      <c r="AA134" s="4">
        <f t="shared" si="124"/>
        <v>1.00001387913291</v>
      </c>
      <c r="AB134" s="4">
        <f t="shared" si="125"/>
        <v>0.00530085381708556</v>
      </c>
      <c r="AC134" s="67" t="str">
        <f t="shared" si="126"/>
        <v>24,5965387869896-29,8446663788346i</v>
      </c>
      <c r="AD134" s="68">
        <f t="shared" si="127"/>
        <v>31.7484270257214</v>
      </c>
      <c r="AE134" s="31">
        <f t="shared" si="128"/>
        <v>-50.5062938225018</v>
      </c>
      <c r="AF134" s="32" t="str">
        <f t="shared" si="129"/>
        <v>326,048966736478</v>
      </c>
      <c r="AG134" s="32" t="str">
        <f t="shared" si="110"/>
        <v>1+0,762885138116965i</v>
      </c>
      <c r="AH134" s="32">
        <f t="shared" si="130"/>
        <v>1.25777332375899</v>
      </c>
      <c r="AI134" s="32">
        <f t="shared" si="131"/>
        <v>0.651696723770799</v>
      </c>
      <c r="AJ134" s="32" t="str">
        <f t="shared" si="111"/>
        <v>1+0,0142405225781833i</v>
      </c>
      <c r="AK134" s="32">
        <f t="shared" si="132"/>
        <v>1.00010139110157</v>
      </c>
      <c r="AL134" s="32">
        <f t="shared" si="133"/>
        <v>0.0142395600716483</v>
      </c>
      <c r="AM134" s="32" t="str">
        <f t="shared" si="112"/>
        <v>1-0,00235018196227077i</v>
      </c>
      <c r="AN134" s="32">
        <f t="shared" si="134"/>
        <v>1.00000276167381</v>
      </c>
      <c r="AO134" s="32">
        <f t="shared" si="135"/>
        <v>-0.00235017763532181</v>
      </c>
      <c r="AP134" s="30" t="str">
        <f t="shared" si="136"/>
        <v>207,976460530589-154,785317544993i</v>
      </c>
      <c r="AQ134" s="32">
        <f t="shared" si="137"/>
        <v>48.2745135898864</v>
      </c>
      <c r="AR134" s="31">
        <f t="shared" si="138"/>
        <v>-36.6582603599514</v>
      </c>
      <c r="AS134" t="str">
        <f t="shared" si="113"/>
        <v>-0,000100699300699301</v>
      </c>
      <c r="AT134" t="str">
        <f t="shared" si="114"/>
        <v>0,000204071774446288i</v>
      </c>
      <c r="AU134">
        <f t="shared" si="139"/>
        <v>0.000204071774446288</v>
      </c>
      <c r="AV134">
        <f t="shared" si="140"/>
        <v>1.5707963267949</v>
      </c>
      <c r="AW134" t="str">
        <f t="shared" si="115"/>
        <v>1+0,0104481005469322i</v>
      </c>
      <c r="AX134">
        <f t="shared" si="141"/>
        <v>1.00005457991304</v>
      </c>
      <c r="AY134">
        <f t="shared" si="142"/>
        <v>0.0104477203905102</v>
      </c>
      <c r="AZ134" t="str">
        <f t="shared" si="116"/>
        <v>1+0,499508126148012i</v>
      </c>
      <c r="BA134">
        <f t="shared" si="143"/>
        <v>1.11781410265209</v>
      </c>
      <c r="BB134">
        <f t="shared" si="144"/>
        <v>0.463254032503539</v>
      </c>
      <c r="BC134" s="30" t="str">
        <f t="shared" si="145"/>
        <v>-0,241300528935561+0,495971541842158i</v>
      </c>
      <c r="BD134" s="32">
        <f t="shared" si="146"/>
        <v>-5.16821209522856</v>
      </c>
      <c r="BE134" s="31">
        <f t="shared" si="147"/>
        <v>115.94389062096</v>
      </c>
      <c r="BF134" s="30" t="str">
        <f t="shared" si="148"/>
        <v>8,86694738039078+19,4007170492818i</v>
      </c>
      <c r="BG134" s="68">
        <f t="shared" si="149"/>
        <v>26.5802149304928</v>
      </c>
      <c r="BH134" s="31">
        <f t="shared" si="150"/>
        <v>65.4375967984582</v>
      </c>
      <c r="BI134" s="30" t="str">
        <f t="shared" si="156"/>
        <v>26,5842826651413+140,500184791297i</v>
      </c>
      <c r="BJ134" s="68">
        <f t="shared" si="151"/>
        <v>43.1063014946579</v>
      </c>
      <c r="BK134" s="31">
        <f t="shared" si="157"/>
        <v>79.2856302610087</v>
      </c>
      <c r="BL134" s="32">
        <f t="shared" si="152"/>
        <v>26.5802149304928</v>
      </c>
      <c r="BM134" s="31">
        <f t="shared" si="153"/>
        <v>65.4375967984582</v>
      </c>
      <c r="BO134">
        <f t="shared" si="154"/>
        <v>0</v>
      </c>
      <c r="BP134">
        <f t="shared" si="155"/>
        <v>0</v>
      </c>
    </row>
    <row r="135" spans="14:68">
      <c r="N135" s="7">
        <v>17</v>
      </c>
      <c r="O135" s="18">
        <f t="shared" si="158"/>
        <v>147.910838816821</v>
      </c>
      <c r="P135" s="86" t="str">
        <f t="shared" si="105"/>
        <v>60</v>
      </c>
      <c r="Q135" s="4" t="str">
        <f t="shared" si="106"/>
        <v>1+1,21435224672257i</v>
      </c>
      <c r="R135" s="4">
        <f t="shared" si="118"/>
        <v>1.57310246936433</v>
      </c>
      <c r="S135" s="4">
        <f t="shared" si="119"/>
        <v>0.881898825037522</v>
      </c>
      <c r="T135" s="4" t="str">
        <f t="shared" si="107"/>
        <v>1+0,0145722269606709i</v>
      </c>
      <c r="U135" s="4">
        <f t="shared" si="120"/>
        <v>1.00010616926334</v>
      </c>
      <c r="V135" s="4">
        <f t="shared" si="121"/>
        <v>0.0145711956222504</v>
      </c>
      <c r="W135" t="str">
        <f t="shared" si="108"/>
        <v>1-0,0203295577018288i</v>
      </c>
      <c r="X135" s="4">
        <f t="shared" si="122"/>
        <v>1.00020662411141</v>
      </c>
      <c r="Y135" s="4">
        <f t="shared" si="123"/>
        <v>-0.0203267577222758</v>
      </c>
      <c r="Z135" t="str">
        <f t="shared" si="109"/>
        <v>0,999999821407214+0,00542437644568913i</v>
      </c>
      <c r="AA135" s="4">
        <f t="shared" si="124"/>
        <v>1.00001453323153</v>
      </c>
      <c r="AB135" s="4">
        <f t="shared" si="125"/>
        <v>0.0054243242133238</v>
      </c>
      <c r="AC135" s="67" t="str">
        <f t="shared" si="126"/>
        <v>23,9222951517385-29,7210721479474i</v>
      </c>
      <c r="AD135" s="68">
        <f t="shared" si="127"/>
        <v>31.6304751731653</v>
      </c>
      <c r="AE135" s="31">
        <f t="shared" si="128"/>
        <v>-51.1696409333873</v>
      </c>
      <c r="AF135" s="32" t="str">
        <f t="shared" si="129"/>
        <v>326,048966736478</v>
      </c>
      <c r="AG135" s="32" t="str">
        <f t="shared" si="110"/>
        <v>1+0,780655015750225i</v>
      </c>
      <c r="AH135" s="32">
        <f t="shared" si="130"/>
        <v>1.26863006964835</v>
      </c>
      <c r="AI135" s="32">
        <f t="shared" si="131"/>
        <v>0.662833411286973</v>
      </c>
      <c r="AJ135" s="32" t="str">
        <f t="shared" si="111"/>
        <v>1+0,0145722269606709i</v>
      </c>
      <c r="AK135" s="32">
        <f t="shared" si="132"/>
        <v>1.00010616926334</v>
      </c>
      <c r="AL135" s="32">
        <f t="shared" si="133"/>
        <v>0.0145711956222504</v>
      </c>
      <c r="AM135" s="32" t="str">
        <f t="shared" si="112"/>
        <v>1-0,00240492473257631i</v>
      </c>
      <c r="AN135" s="32">
        <f t="shared" si="134"/>
        <v>1.0000028918273</v>
      </c>
      <c r="AO135" s="32">
        <f t="shared" si="135"/>
        <v>-0.00240492009616769</v>
      </c>
      <c r="AP135" s="30" t="str">
        <f t="shared" si="136"/>
        <v>204,518955348395-155,69161198928i</v>
      </c>
      <c r="AQ135" s="32">
        <f t="shared" si="137"/>
        <v>48.1999037879723</v>
      </c>
      <c r="AR135" s="31">
        <f t="shared" si="138"/>
        <v>-37.2804807469648</v>
      </c>
      <c r="AS135" t="str">
        <f t="shared" si="113"/>
        <v>-0,000100699300699301</v>
      </c>
      <c r="AT135" t="str">
        <f t="shared" si="114"/>
        <v>0,000208825216713185i</v>
      </c>
      <c r="AU135">
        <f t="shared" si="139"/>
        <v>0.000208825216713185</v>
      </c>
      <c r="AV135">
        <f t="shared" si="140"/>
        <v>1.5707963267949</v>
      </c>
      <c r="AW135" t="str">
        <f t="shared" si="115"/>
        <v>1+0,0106914680723204i</v>
      </c>
      <c r="AX135">
        <f t="shared" si="141"/>
        <v>1.00005715211159</v>
      </c>
      <c r="AY135">
        <f t="shared" si="142"/>
        <v>0.0106910607286325</v>
      </c>
      <c r="AZ135" t="str">
        <f t="shared" si="116"/>
        <v>1+0,511143165074551i</v>
      </c>
      <c r="BA135">
        <f t="shared" si="143"/>
        <v>1.12306159011981</v>
      </c>
      <c r="BB135">
        <f t="shared" si="144"/>
        <v>0.47252234993868</v>
      </c>
      <c r="BC135" s="30" t="str">
        <f t="shared" si="145"/>
        <v>-0,241299287662355+0,484797950639513i</v>
      </c>
      <c r="BD135" s="32">
        <f t="shared" si="146"/>
        <v>-5.32755464221129</v>
      </c>
      <c r="BE135" s="31">
        <f t="shared" si="147"/>
        <v>116.460983718821</v>
      </c>
      <c r="BF135" s="30" t="str">
        <f t="shared" si="148"/>
        <v>8,6362820887709+18,7691532020175i</v>
      </c>
      <c r="BG135" s="68">
        <f t="shared" si="149"/>
        <v>26.302920530954</v>
      </c>
      <c r="BH135" s="31">
        <f t="shared" si="150"/>
        <v>65.2913427854341</v>
      </c>
      <c r="BI135" s="30" t="str">
        <f t="shared" si="156"/>
        <v>26,1286961851485+136,718645487853i</v>
      </c>
      <c r="BJ135" s="68">
        <f t="shared" si="151"/>
        <v>42.872349145761</v>
      </c>
      <c r="BK135" s="31">
        <f t="shared" si="157"/>
        <v>79.1805029718566</v>
      </c>
      <c r="BL135" s="32">
        <f t="shared" si="152"/>
        <v>26.302920530954</v>
      </c>
      <c r="BM135" s="31">
        <f t="shared" si="153"/>
        <v>65.2913427854341</v>
      </c>
      <c r="BO135">
        <f t="shared" si="154"/>
        <v>0</v>
      </c>
      <c r="BP135">
        <f t="shared" si="155"/>
        <v>0</v>
      </c>
    </row>
    <row r="136" spans="14:68">
      <c r="N136" s="7">
        <v>18</v>
      </c>
      <c r="O136" s="18">
        <f t="shared" si="158"/>
        <v>151.356124843621</v>
      </c>
      <c r="P136" s="86" t="str">
        <f t="shared" si="105"/>
        <v>60</v>
      </c>
      <c r="Q136" s="4" t="str">
        <f t="shared" si="106"/>
        <v>1+1,2426381442316i</v>
      </c>
      <c r="R136" s="4">
        <f t="shared" si="118"/>
        <v>1.59503904576012</v>
      </c>
      <c r="S136" s="4">
        <f t="shared" si="119"/>
        <v>0.893172118971341</v>
      </c>
      <c r="T136" s="4" t="str">
        <f t="shared" si="107"/>
        <v>1+0,0149116577307792i</v>
      </c>
      <c r="U136" s="4">
        <f t="shared" si="120"/>
        <v>1.00011117258847</v>
      </c>
      <c r="V136" s="4">
        <f t="shared" si="121"/>
        <v>0.0149105526383859</v>
      </c>
      <c r="W136" t="str">
        <f t="shared" si="108"/>
        <v>1-0,0208030939324486i</v>
      </c>
      <c r="X136" s="4">
        <f t="shared" si="122"/>
        <v>1.00021636095255</v>
      </c>
      <c r="Y136" s="4">
        <f t="shared" si="123"/>
        <v>-0.0208000937353536</v>
      </c>
      <c r="Z136" t="str">
        <f t="shared" si="109"/>
        <v>0,999999812990396+0,00555072640436647i</v>
      </c>
      <c r="AA136" s="4">
        <f t="shared" si="124"/>
        <v>1.00001521815643</v>
      </c>
      <c r="AB136" s="4">
        <f t="shared" si="125"/>
        <v>0.00555067043642466</v>
      </c>
      <c r="AC136" s="67" t="str">
        <f t="shared" si="126"/>
        <v>23,2539796954375-29,5828942798842i</v>
      </c>
      <c r="AD136" s="68">
        <f t="shared" si="127"/>
        <v>31.5103111119849</v>
      </c>
      <c r="AE136" s="31">
        <f t="shared" si="128"/>
        <v>-51.8304686334147</v>
      </c>
      <c r="AF136" s="32" t="str">
        <f t="shared" si="129"/>
        <v>326,048966736478</v>
      </c>
      <c r="AG136" s="32" t="str">
        <f t="shared" si="110"/>
        <v>1+0,798838807006027i</v>
      </c>
      <c r="AH136" s="32">
        <f t="shared" si="130"/>
        <v>1.2798997771618</v>
      </c>
      <c r="AI136" s="32">
        <f t="shared" si="131"/>
        <v>0.674032496544629</v>
      </c>
      <c r="AJ136" s="32" t="str">
        <f t="shared" si="111"/>
        <v>1+0,0149116577307792i</v>
      </c>
      <c r="AK136" s="32">
        <f t="shared" si="132"/>
        <v>1.00011117258847</v>
      </c>
      <c r="AL136" s="32">
        <f t="shared" si="133"/>
        <v>0.0149105526383859</v>
      </c>
      <c r="AM136" s="32" t="str">
        <f t="shared" si="112"/>
        <v>1-0,00246094262580801i</v>
      </c>
      <c r="AN136" s="32">
        <f t="shared" si="134"/>
        <v>1.00000302811472</v>
      </c>
      <c r="AO136" s="32">
        <f t="shared" si="135"/>
        <v>-0.00246093765780748</v>
      </c>
      <c r="AP136" s="30" t="str">
        <f t="shared" si="136"/>
        <v>201,022599142371-156,525110485036i</v>
      </c>
      <c r="AQ136" s="32">
        <f t="shared" si="137"/>
        <v>48.1231291768838</v>
      </c>
      <c r="AR136" s="31">
        <f t="shared" si="138"/>
        <v>-37.9059069117235</v>
      </c>
      <c r="AS136" t="str">
        <f t="shared" si="113"/>
        <v>-0,000100699300699301</v>
      </c>
      <c r="AT136" t="str">
        <f t="shared" si="114"/>
        <v>0,000213689380874112i</v>
      </c>
      <c r="AU136">
        <f t="shared" si="139"/>
        <v>0.000213689380874112</v>
      </c>
      <c r="AV136">
        <f t="shared" si="140"/>
        <v>1.5707963267949</v>
      </c>
      <c r="AW136" t="str">
        <f t="shared" si="115"/>
        <v>1+0,0109405043555989i</v>
      </c>
      <c r="AX136">
        <f t="shared" si="141"/>
        <v>1.00005984552703</v>
      </c>
      <c r="AY136">
        <f t="shared" si="142"/>
        <v>0.0109400678803842</v>
      </c>
      <c r="AZ136" t="str">
        <f t="shared" si="116"/>
        <v>1+0,523049218872993i</v>
      </c>
      <c r="BA136">
        <f t="shared" si="143"/>
        <v>1.12853023236582</v>
      </c>
      <c r="BB136">
        <f t="shared" si="144"/>
        <v>0.481916499199138</v>
      </c>
      <c r="BC136" s="30" t="str">
        <f t="shared" si="145"/>
        <v>-0,241297987903434+0,473881404476285i</v>
      </c>
      <c r="BD136" s="32">
        <f t="shared" si="146"/>
        <v>-5.48538556003675</v>
      </c>
      <c r="BE136" s="31">
        <f t="shared" si="147"/>
        <v>116.984961764698</v>
      </c>
      <c r="BF136" s="30" t="str">
        <f t="shared" si="148"/>
        <v>8,40764497856861+18,157921423833i</v>
      </c>
      <c r="BG136" s="68">
        <f t="shared" si="149"/>
        <v>26.0249255519482</v>
      </c>
      <c r="BH136" s="31">
        <f t="shared" si="150"/>
        <v>65.1544931312829</v>
      </c>
      <c r="BI136" s="30" t="str">
        <f t="shared" si="156"/>
        <v>25,6679904962819+133,030065829462i</v>
      </c>
      <c r="BJ136" s="68">
        <f t="shared" si="151"/>
        <v>42.6377436168471</v>
      </c>
      <c r="BK136" s="31">
        <f t="shared" si="157"/>
        <v>79.0790548529742</v>
      </c>
      <c r="BL136" s="32">
        <f t="shared" si="152"/>
        <v>26.0249255519482</v>
      </c>
      <c r="BM136" s="31">
        <f t="shared" si="153"/>
        <v>65.1544931312829</v>
      </c>
      <c r="BO136">
        <f t="shared" si="154"/>
        <v>0</v>
      </c>
      <c r="BP136">
        <f t="shared" si="155"/>
        <v>0</v>
      </c>
    </row>
    <row r="137" spans="14:68">
      <c r="N137" s="7">
        <v>19</v>
      </c>
      <c r="O137" s="18">
        <f t="shared" si="158"/>
        <v>154.881661891248</v>
      </c>
      <c r="P137" s="86" t="str">
        <f t="shared" si="105"/>
        <v>60</v>
      </c>
      <c r="Q137" s="4" t="str">
        <f t="shared" si="106"/>
        <v>1+1,27158290493295i</v>
      </c>
      <c r="R137" s="4">
        <f t="shared" si="118"/>
        <v>1.61769066391499</v>
      </c>
      <c r="S137" s="4">
        <f t="shared" si="119"/>
        <v>0.904390037311235</v>
      </c>
      <c r="T137" s="4" t="str">
        <f t="shared" si="107"/>
        <v>1+0,0152589948591954i</v>
      </c>
      <c r="U137" s="4">
        <f t="shared" si="120"/>
        <v>1.00011641168622</v>
      </c>
      <c r="V137" s="4">
        <f t="shared" si="121"/>
        <v>0.0152578107388058</v>
      </c>
      <c r="W137" t="str">
        <f t="shared" si="108"/>
        <v>1-0,0212876602388329i</v>
      </c>
      <c r="X137" s="4">
        <f t="shared" si="122"/>
        <v>1.00022655657528</v>
      </c>
      <c r="Y137" s="4">
        <f t="shared" si="123"/>
        <v>-0.021284445509052</v>
      </c>
      <c r="Z137" t="str">
        <f t="shared" si="109"/>
        <v>0,999999804176905+0,00568001943165595i</v>
      </c>
      <c r="AA137" s="4">
        <f t="shared" si="124"/>
        <v>1.00001593536033</v>
      </c>
      <c r="AB137" s="4">
        <f t="shared" si="125"/>
        <v>0.00567995946097743</v>
      </c>
      <c r="AC137" s="67" t="str">
        <f t="shared" si="126"/>
        <v>22,5922133384861-29,4304815926804i</v>
      </c>
      <c r="AD137" s="68">
        <f t="shared" si="127"/>
        <v>31.387955717096</v>
      </c>
      <c r="AE137" s="31">
        <f t="shared" si="128"/>
        <v>-52.4884706135342</v>
      </c>
      <c r="AF137" s="32" t="str">
        <f t="shared" si="129"/>
        <v>326,048966736478</v>
      </c>
      <c r="AG137" s="32" t="str">
        <f t="shared" si="110"/>
        <v>1+0,817446153171183i</v>
      </c>
      <c r="AH137" s="32">
        <f t="shared" si="130"/>
        <v>1.29159522039003</v>
      </c>
      <c r="AI137" s="32">
        <f t="shared" si="131"/>
        <v>0.685288681369135</v>
      </c>
      <c r="AJ137" s="32" t="str">
        <f t="shared" si="111"/>
        <v>1+0,0152589948591954i</v>
      </c>
      <c r="AK137" s="32">
        <f t="shared" si="132"/>
        <v>1.00011641168622</v>
      </c>
      <c r="AL137" s="32">
        <f t="shared" si="133"/>
        <v>0.0152578107388058</v>
      </c>
      <c r="AM137" s="32" t="str">
        <f t="shared" si="112"/>
        <v>1-0,00251826534339432i</v>
      </c>
      <c r="AN137" s="32">
        <f t="shared" si="134"/>
        <v>1.00000317082514</v>
      </c>
      <c r="AO137" s="32">
        <f t="shared" si="135"/>
        <v>-0.00251826002008676</v>
      </c>
      <c r="AP137" s="30" t="str">
        <f t="shared" si="136"/>
        <v>197,490500568162-157,283748283199i</v>
      </c>
      <c r="AQ137" s="32">
        <f t="shared" si="137"/>
        <v>48.0441666021384</v>
      </c>
      <c r="AR137" s="31">
        <f t="shared" si="138"/>
        <v>-38.5342267014614</v>
      </c>
      <c r="AS137" t="str">
        <f t="shared" si="113"/>
        <v>-0,000100699300699301</v>
      </c>
      <c r="AT137" t="str">
        <f t="shared" si="114"/>
        <v>0,000218666845973291i</v>
      </c>
      <c r="AU137">
        <f t="shared" si="139"/>
        <v>0.000218666845973291</v>
      </c>
      <c r="AV137">
        <f t="shared" si="140"/>
        <v>1.5707963267949</v>
      </c>
      <c r="AW137" t="str">
        <f t="shared" si="115"/>
        <v>1+0,0111953414391014i</v>
      </c>
      <c r="AX137">
        <f t="shared" si="141"/>
        <v>1.00006266587146</v>
      </c>
      <c r="AY137">
        <f t="shared" si="142"/>
        <v>0.0111948737490654</v>
      </c>
      <c r="AZ137" t="str">
        <f t="shared" si="116"/>
        <v>1+0,535232600290655i</v>
      </c>
      <c r="BA137">
        <f t="shared" si="143"/>
        <v>1.13422834403567</v>
      </c>
      <c r="BB137">
        <f t="shared" si="144"/>
        <v>0.49143482803228</v>
      </c>
      <c r="BC137" s="30" t="str">
        <f t="shared" si="145"/>
        <v>-0,24129662690377+0,46321611516575i</v>
      </c>
      <c r="BD137" s="32">
        <f t="shared" si="146"/>
        <v>-5.64166409516889</v>
      </c>
      <c r="BE137" s="31">
        <f t="shared" si="147"/>
        <v>117.515722533984</v>
      </c>
      <c r="BF137" s="30" t="str">
        <f t="shared" si="148"/>
        <v>8,18124847795147+17,5665532321166i</v>
      </c>
      <c r="BG137" s="68">
        <f t="shared" si="149"/>
        <v>25.7462916219271</v>
      </c>
      <c r="BH137" s="31">
        <f t="shared" si="150"/>
        <v>65.0272519204495</v>
      </c>
      <c r="BI137" s="30" t="str">
        <f t="shared" si="156"/>
        <v>25,2025752258166+129,432820382841i</v>
      </c>
      <c r="BJ137" s="68">
        <f t="shared" si="151"/>
        <v>42.4025025069695</v>
      </c>
      <c r="BK137" s="31">
        <f t="shared" si="157"/>
        <v>78.9814958325224</v>
      </c>
      <c r="BL137" s="32">
        <f t="shared" si="152"/>
        <v>25.7462916219271</v>
      </c>
      <c r="BM137" s="31">
        <f t="shared" si="153"/>
        <v>65.0272519204495</v>
      </c>
      <c r="BO137">
        <f t="shared" si="154"/>
        <v>0</v>
      </c>
      <c r="BP137">
        <f t="shared" si="155"/>
        <v>0</v>
      </c>
    </row>
    <row r="138" spans="14:68">
      <c r="N138" s="7">
        <v>20</v>
      </c>
      <c r="O138" s="18">
        <f t="shared" si="158"/>
        <v>158.489319246112</v>
      </c>
      <c r="P138" s="86" t="str">
        <f t="shared" si="105"/>
        <v>60</v>
      </c>
      <c r="Q138" s="4" t="str">
        <f t="shared" si="106"/>
        <v>1+1,3012018757219i</v>
      </c>
      <c r="R138" s="4">
        <f t="shared" si="118"/>
        <v>1.64107474582427</v>
      </c>
      <c r="S138" s="4">
        <f t="shared" si="119"/>
        <v>0.915547235110707</v>
      </c>
      <c r="T138" s="4" t="str">
        <f t="shared" si="107"/>
        <v>1+0,0156144225086628i</v>
      </c>
      <c r="U138" s="4">
        <f t="shared" si="120"/>
        <v>1.00012189766562</v>
      </c>
      <c r="V138" s="4">
        <f t="shared" si="121"/>
        <v>0.0156131537091577</v>
      </c>
      <c r="W138" t="str">
        <f t="shared" si="108"/>
        <v>1-0,0217835135444514i</v>
      </c>
      <c r="X138" s="4">
        <f t="shared" si="122"/>
        <v>1.00023723259152</v>
      </c>
      <c r="Y138" s="4">
        <f t="shared" si="123"/>
        <v>-0.0217800689435531</v>
      </c>
      <c r="Z138" t="str">
        <f t="shared" si="109"/>
        <v>0,999999794948046+0,00581232408043207i</v>
      </c>
      <c r="AA138" s="4">
        <f t="shared" si="124"/>
        <v>1.00001668636446</v>
      </c>
      <c r="AB138" s="4">
        <f t="shared" si="125"/>
        <v>0.0058122598207502</v>
      </c>
      <c r="AC138" s="67" t="str">
        <f t="shared" si="126"/>
        <v>21,9375911550804-29,2642142155612i</v>
      </c>
      <c r="AD138" s="68">
        <f t="shared" si="127"/>
        <v>31.2634318846447</v>
      </c>
      <c r="AE138" s="31">
        <f t="shared" si="128"/>
        <v>-53.1433486894233</v>
      </c>
      <c r="AF138" s="32" t="str">
        <f t="shared" si="129"/>
        <v>326,048966736478</v>
      </c>
      <c r="AG138" s="32" t="str">
        <f t="shared" si="110"/>
        <v>1+0,836486920106936i</v>
      </c>
      <c r="AH138" s="32">
        <f t="shared" si="130"/>
        <v>1.30372940731963</v>
      </c>
      <c r="AI138" s="32">
        <f t="shared" si="131"/>
        <v>0.696596525191633</v>
      </c>
      <c r="AJ138" s="32" t="str">
        <f t="shared" si="111"/>
        <v>1+0,0156144225086628i</v>
      </c>
      <c r="AK138" s="32">
        <f t="shared" si="132"/>
        <v>1.00012189766562</v>
      </c>
      <c r="AL138" s="32">
        <f t="shared" si="133"/>
        <v>0.0156131537091577</v>
      </c>
      <c r="AM138" s="32" t="str">
        <f t="shared" si="112"/>
        <v>1-0,00257692327859891i</v>
      </c>
      <c r="AN138" s="32">
        <f t="shared" si="134"/>
        <v>1.00000332026128</v>
      </c>
      <c r="AO138" s="32">
        <f t="shared" si="135"/>
        <v>-0.00257691757457311</v>
      </c>
      <c r="AP138" s="30" t="str">
        <f t="shared" si="136"/>
        <v>193,925908643574-157,965622897412i</v>
      </c>
      <c r="AQ138" s="32">
        <f t="shared" si="137"/>
        <v>47.9629948951455</v>
      </c>
      <c r="AR138" s="31">
        <f t="shared" si="138"/>
        <v>-39.1651196057114</v>
      </c>
      <c r="AS138" t="str">
        <f t="shared" si="113"/>
        <v>-0,000100699300699301</v>
      </c>
      <c r="AT138" t="str">
        <f t="shared" si="114"/>
        <v>0,000223760251128605i</v>
      </c>
      <c r="AU138">
        <f t="shared" si="139"/>
        <v>0.000223760251128605</v>
      </c>
      <c r="AV138">
        <f t="shared" si="140"/>
        <v>1.5707963267949</v>
      </c>
      <c r="AW138" t="str">
        <f t="shared" si="115"/>
        <v>1+0,0114561144408228i</v>
      </c>
      <c r="AX138">
        <f t="shared" si="141"/>
        <v>1.00006561912611</v>
      </c>
      <c r="AY138">
        <f t="shared" si="142"/>
        <v>0.0114556133036962</v>
      </c>
      <c r="AZ138" t="str">
        <f t="shared" si="116"/>
        <v>1+0,547699769117636i</v>
      </c>
      <c r="BA138">
        <f t="shared" si="143"/>
        <v>1.14016447808705</v>
      </c>
      <c r="BB138">
        <f t="shared" si="144"/>
        <v>0.501075483568181</v>
      </c>
      <c r="BC138" s="30" t="str">
        <f t="shared" si="145"/>
        <v>-0,241295201778622+0,452796427734486i</v>
      </c>
      <c r="BD138" s="32">
        <f t="shared" si="146"/>
        <v>-5.79634953671862</v>
      </c>
      <c r="BE138" s="31">
        <f t="shared" si="147"/>
        <v>118.053152131898</v>
      </c>
      <c r="BF138" s="30" t="str">
        <f t="shared" si="148"/>
        <v>7,95729617296084+16,9945773821567i</v>
      </c>
      <c r="BG138" s="68">
        <f t="shared" si="149"/>
        <v>25.4670823479261</v>
      </c>
      <c r="BH138" s="31">
        <f t="shared" si="150"/>
        <v>64.9098034424746</v>
      </c>
      <c r="BI138" s="30" t="str">
        <f t="shared" si="156"/>
        <v>24,7328784965473+125,925305530091i</v>
      </c>
      <c r="BJ138" s="68">
        <f t="shared" si="151"/>
        <v>42.1666453584268</v>
      </c>
      <c r="BK138" s="31">
        <f t="shared" si="157"/>
        <v>78.8880325261865</v>
      </c>
      <c r="BL138" s="32">
        <f t="shared" si="152"/>
        <v>25.4670823479261</v>
      </c>
      <c r="BM138" s="31">
        <f t="shared" si="153"/>
        <v>64.9098034424746</v>
      </c>
      <c r="BO138">
        <f t="shared" si="154"/>
        <v>0</v>
      </c>
      <c r="BP138">
        <f t="shared" si="155"/>
        <v>0</v>
      </c>
    </row>
    <row r="139" spans="14:68">
      <c r="N139" s="7">
        <v>21</v>
      </c>
      <c r="O139" s="18">
        <f t="shared" si="158"/>
        <v>162.181009735893</v>
      </c>
      <c r="P139" s="86" t="str">
        <f t="shared" si="105"/>
        <v>60</v>
      </c>
      <c r="Q139" s="4" t="str">
        <f t="shared" si="106"/>
        <v>1+1,33151076096878i</v>
      </c>
      <c r="R139" s="4">
        <f t="shared" si="118"/>
        <v>1.66520896784027</v>
      </c>
      <c r="S139" s="4">
        <f t="shared" si="119"/>
        <v>0.926638517540318</v>
      </c>
      <c r="T139" s="4" t="str">
        <f t="shared" si="107"/>
        <v>1+0,0159781291316254i</v>
      </c>
      <c r="U139" s="4">
        <f t="shared" si="120"/>
        <v>1.00012764215901</v>
      </c>
      <c r="V139" s="4">
        <f t="shared" si="121"/>
        <v>0.0159767695978323</v>
      </c>
      <c r="W139" t="str">
        <f t="shared" si="108"/>
        <v>1-0,0222909167572899i</v>
      </c>
      <c r="X139" s="4">
        <f t="shared" si="122"/>
        <v>1.00024841163077</v>
      </c>
      <c r="Y139" s="4">
        <f t="shared" si="123"/>
        <v>-0.0222872258504339</v>
      </c>
      <c r="Z139" t="str">
        <f t="shared" si="109"/>
        <v>0,999999785284246+0,00594771050037078i</v>
      </c>
      <c r="AA139" s="4">
        <f t="shared" si="124"/>
        <v>1.00001747276172</v>
      </c>
      <c r="AB139" s="4">
        <f t="shared" si="125"/>
        <v>0.00594764164494608</v>
      </c>
      <c r="AC139" s="67" t="str">
        <f t="shared" si="126"/>
        <v>21,2906804703904-29,0845013529155i</v>
      </c>
      <c r="AD139" s="68">
        <f t="shared" si="127"/>
        <v>31.1367644439964</v>
      </c>
      <c r="AE139" s="31">
        <f t="shared" si="128"/>
        <v>-53.7948134637071</v>
      </c>
      <c r="AF139" s="32" t="str">
        <f t="shared" si="129"/>
        <v>326,048966736478</v>
      </c>
      <c r="AG139" s="32" t="str">
        <f t="shared" si="110"/>
        <v>1+0,855971203479933i</v>
      </c>
      <c r="AH139" s="32">
        <f t="shared" si="130"/>
        <v>1.31631557811449</v>
      </c>
      <c r="AI139" s="32">
        <f t="shared" si="131"/>
        <v>0.70795045710142</v>
      </c>
      <c r="AJ139" s="32" t="str">
        <f t="shared" si="111"/>
        <v>1+0,0159781291316254i</v>
      </c>
      <c r="AK139" s="32">
        <f t="shared" si="132"/>
        <v>1.00012764215901</v>
      </c>
      <c r="AL139" s="32">
        <f t="shared" si="133"/>
        <v>0.0159767695978323</v>
      </c>
      <c r="AM139" s="32" t="str">
        <f t="shared" si="112"/>
        <v>1-0,00263694753263539i</v>
      </c>
      <c r="AN139" s="32">
        <f t="shared" si="134"/>
        <v>1.0000034767401</v>
      </c>
      <c r="AO139" s="32">
        <f t="shared" si="135"/>
        <v>-0.00263694142066278</v>
      </c>
      <c r="AP139" s="30" t="str">
        <f t="shared" si="136"/>
        <v>190,332201894572-158,569005441288i</v>
      </c>
      <c r="AQ139" s="32">
        <f t="shared" si="137"/>
        <v>47.8795949575591</v>
      </c>
      <c r="AR139" s="31">
        <f t="shared" si="138"/>
        <v>-39.7982574422873</v>
      </c>
      <c r="AS139" t="str">
        <f t="shared" si="113"/>
        <v>-0,000100699300699301</v>
      </c>
      <c r="AT139" t="str">
        <f t="shared" si="114"/>
        <v>0,000228972296930882i</v>
      </c>
      <c r="AU139">
        <f t="shared" si="139"/>
        <v>0.000228972296930882</v>
      </c>
      <c r="AV139">
        <f t="shared" si="140"/>
        <v>1.5707963267949</v>
      </c>
      <c r="AW139" t="str">
        <f t="shared" si="115"/>
        <v>1+0,0117229616260603i</v>
      </c>
      <c r="AX139">
        <f t="shared" si="141"/>
        <v>1.000068711554</v>
      </c>
      <c r="AY139">
        <f t="shared" si="142"/>
        <v>0.0117224246499472</v>
      </c>
      <c r="AZ139" t="str">
        <f t="shared" si="116"/>
        <v>1+0,56045733561186i</v>
      </c>
      <c r="BA139">
        <f t="shared" si="143"/>
        <v>1.14634742772039</v>
      </c>
      <c r="BB139">
        <f t="shared" si="144"/>
        <v>0.510836408431444</v>
      </c>
      <c r="BC139" s="30" t="str">
        <f t="shared" si="145"/>
        <v>-0,241293709507438+0,442616817423607i</v>
      </c>
      <c r="BD139" s="32">
        <f t="shared" si="146"/>
        <v>-5.94940130735187</v>
      </c>
      <c r="BE139" s="31">
        <f t="shared" si="147"/>
        <v>118.597124766641</v>
      </c>
      <c r="BF139" s="30" t="str">
        <f t="shared" si="148"/>
        <v>7,73598215654198+16,4415204512062i</v>
      </c>
      <c r="BG139" s="68">
        <f t="shared" si="149"/>
        <v>25.1873631366445</v>
      </c>
      <c r="BH139" s="31">
        <f t="shared" si="150"/>
        <v>64.8023113029337</v>
      </c>
      <c r="BI139" s="30" t="str">
        <f t="shared" si="156"/>
        <v>24,2593454965896+122,505936991636i</v>
      </c>
      <c r="BJ139" s="68">
        <f t="shared" si="151"/>
        <v>41.9301936502072</v>
      </c>
      <c r="BK139" s="31">
        <f t="shared" si="157"/>
        <v>78.7988673243535</v>
      </c>
      <c r="BL139" s="32">
        <f t="shared" si="152"/>
        <v>25.1873631366445</v>
      </c>
      <c r="BM139" s="31">
        <f t="shared" si="153"/>
        <v>64.8023113029337</v>
      </c>
      <c r="BO139">
        <f t="shared" si="154"/>
        <v>0</v>
      </c>
      <c r="BP139">
        <f t="shared" si="155"/>
        <v>0</v>
      </c>
    </row>
    <row r="140" spans="14:68">
      <c r="N140" s="7">
        <v>22</v>
      </c>
      <c r="O140" s="18">
        <f t="shared" si="158"/>
        <v>165.958690743756</v>
      </c>
      <c r="P140" s="86" t="str">
        <f t="shared" si="105"/>
        <v>60</v>
      </c>
      <c r="Q140" s="4" t="str">
        <f t="shared" si="106"/>
        <v>1+1,36252563084577i</v>
      </c>
      <c r="R140" s="4">
        <f t="shared" si="118"/>
        <v>1.69011126696193</v>
      </c>
      <c r="S140" s="4">
        <f t="shared" si="119"/>
        <v>0.937658850499248</v>
      </c>
      <c r="T140" s="4" t="str">
        <f t="shared" si="107"/>
        <v>1+0,0163503075701493i</v>
      </c>
      <c r="U140" s="4">
        <f t="shared" si="120"/>
        <v>1.00013365734668</v>
      </c>
      <c r="V140" s="4">
        <f t="shared" si="121"/>
        <v>0.0163488508139582</v>
      </c>
      <c r="W140" t="str">
        <f t="shared" si="108"/>
        <v>1-0,0228101389092485i</v>
      </c>
      <c r="X140" s="4">
        <f t="shared" si="122"/>
        <v>1.000260117388</v>
      </c>
      <c r="Y140" s="4">
        <f t="shared" si="123"/>
        <v>-0.0228061840868426</v>
      </c>
      <c r="Z140" t="str">
        <f t="shared" si="109"/>
        <v>0,999999775165004+0,00608625047514409i</v>
      </c>
      <c r="AA140" s="4">
        <f t="shared" si="124"/>
        <v>1.00001829622008</v>
      </c>
      <c r="AB140" s="4">
        <f t="shared" si="125"/>
        <v>0.00608617669530016</v>
      </c>
      <c r="AC140" s="67" t="str">
        <f t="shared" si="126"/>
        <v>20,6520191788636-28,8917789249462i</v>
      </c>
      <c r="AD140" s="68">
        <f t="shared" si="127"/>
        <v>31.0079800638278</v>
      </c>
      <c r="AE140" s="31">
        <f t="shared" si="128"/>
        <v>-54.4425849381524</v>
      </c>
      <c r="AF140" s="32" t="str">
        <f t="shared" si="129"/>
        <v>326,048966736478</v>
      </c>
      <c r="AG140" s="32" t="str">
        <f t="shared" si="110"/>
        <v>1+0,875909334115142i</v>
      </c>
      <c r="AH140" s="32">
        <f t="shared" si="130"/>
        <v>1.32936720344306</v>
      </c>
      <c r="AI140" s="32">
        <f t="shared" si="131"/>
        <v>0.719344788681571</v>
      </c>
      <c r="AJ140" s="32" t="str">
        <f t="shared" si="111"/>
        <v>1+0,0163503075701493i</v>
      </c>
      <c r="AK140" s="32">
        <f t="shared" si="132"/>
        <v>1.00013365734668</v>
      </c>
      <c r="AL140" s="32">
        <f t="shared" si="133"/>
        <v>0.0163488508139582</v>
      </c>
      <c r="AM140" s="32" t="str">
        <f t="shared" si="112"/>
        <v>1-0,00269836993115783i</v>
      </c>
      <c r="AN140" s="32">
        <f t="shared" si="134"/>
        <v>1.00000364059352</v>
      </c>
      <c r="AO140" s="32">
        <f t="shared" si="135"/>
        <v>-0.00269836338206247</v>
      </c>
      <c r="AP140" s="30" t="str">
        <f t="shared" si="136"/>
        <v>186,712876430682-159,092351103978i</v>
      </c>
      <c r="AQ140" s="32">
        <f t="shared" si="137"/>
        <v>47.7939498385385</v>
      </c>
      <c r="AR140" s="31">
        <f t="shared" si="138"/>
        <v>-40.4333050880402</v>
      </c>
      <c r="AS140" t="str">
        <f t="shared" si="113"/>
        <v>-0,000100699300699301</v>
      </c>
      <c r="AT140" t="str">
        <f t="shared" si="114"/>
        <v>0,0002343057468758i</v>
      </c>
      <c r="AU140">
        <f t="shared" si="139"/>
        <v>0.0002343057468758</v>
      </c>
      <c r="AV140">
        <f t="shared" si="140"/>
        <v>1.5707963267949</v>
      </c>
      <c r="AW140" t="str">
        <f t="shared" si="115"/>
        <v>1+0,0119960244807237i</v>
      </c>
      <c r="AX140">
        <f t="shared" si="141"/>
        <v>1.00007194971329</v>
      </c>
      <c r="AY140">
        <f t="shared" si="142"/>
        <v>0.0119954491026878</v>
      </c>
      <c r="AZ140" t="str">
        <f t="shared" si="116"/>
        <v>1+0,573512064003961i</v>
      </c>
      <c r="BA140">
        <f t="shared" si="143"/>
        <v>1.15278622803974</v>
      </c>
      <c r="BB140">
        <f t="shared" si="144"/>
        <v>0.520715337436974</v>
      </c>
      <c r="BC140" s="30" t="str">
        <f t="shared" si="145"/>
        <v>-0,241292146927463+0,432671886758932i</v>
      </c>
      <c r="BD140" s="32">
        <f t="shared" si="146"/>
        <v>-6.10077905847483</v>
      </c>
      <c r="BE140" s="31">
        <f t="shared" si="147"/>
        <v>119.147502555921</v>
      </c>
      <c r="BF140" s="30" t="str">
        <f t="shared" si="148"/>
        <v>7,51749045322328+15,9069074688545i</v>
      </c>
      <c r="BG140" s="68">
        <f t="shared" si="149"/>
        <v>24.907201005353</v>
      </c>
      <c r="BH140" s="31">
        <f t="shared" si="150"/>
        <v>64.7049176177687</v>
      </c>
      <c r="BI140" s="30" t="str">
        <f t="shared" si="156"/>
        <v>23,7824369081113+119,173147485067i</v>
      </c>
      <c r="BJ140" s="68">
        <f t="shared" si="151"/>
        <v>41.6931707800637</v>
      </c>
      <c r="BK140" s="31">
        <f t="shared" si="157"/>
        <v>78.7141974678809</v>
      </c>
      <c r="BL140" s="32">
        <f t="shared" si="152"/>
        <v>24.907201005353</v>
      </c>
      <c r="BM140" s="31">
        <f t="shared" si="153"/>
        <v>64.7049176177687</v>
      </c>
      <c r="BO140">
        <f t="shared" si="154"/>
        <v>0</v>
      </c>
      <c r="BP140">
        <f t="shared" si="155"/>
        <v>0</v>
      </c>
    </row>
    <row r="141" spans="14:68">
      <c r="N141" s="7">
        <v>23</v>
      </c>
      <c r="O141" s="18">
        <f t="shared" si="158"/>
        <v>169.824365246174</v>
      </c>
      <c r="P141" s="86" t="str">
        <f t="shared" si="105"/>
        <v>60</v>
      </c>
      <c r="Q141" s="4" t="str">
        <f t="shared" si="106"/>
        <v>1+1,39426292984739i</v>
      </c>
      <c r="R141" s="4">
        <f t="shared" si="118"/>
        <v>1.71579984775225</v>
      </c>
      <c r="S141" s="4">
        <f t="shared" si="119"/>
        <v>0.948603370309797</v>
      </c>
      <c r="T141" s="4" t="str">
        <f t="shared" si="107"/>
        <v>1+0,0167311551581687i</v>
      </c>
      <c r="U141" s="4">
        <f t="shared" si="120"/>
        <v>1.00013995598262</v>
      </c>
      <c r="V141" s="4">
        <f t="shared" si="121"/>
        <v>0.016729594227584</v>
      </c>
      <c r="W141" t="str">
        <f t="shared" si="108"/>
        <v>1-0,0233414552987844i</v>
      </c>
      <c r="X141" s="4">
        <f t="shared" si="122"/>
        <v>1.00027237467375</v>
      </c>
      <c r="Y141" s="4">
        <f t="shared" si="123"/>
        <v>-0.0233372176925471</v>
      </c>
      <c r="Z141" t="str">
        <f t="shared" si="109"/>
        <v>0,999999764568857+0,00622801746048034i</v>
      </c>
      <c r="AA141" s="4">
        <f t="shared" si="124"/>
        <v>1.0000191584861</v>
      </c>
      <c r="AB141" s="4">
        <f t="shared" si="125"/>
        <v>0.00622793840403503</v>
      </c>
      <c r="AC141" s="67" t="str">
        <f t="shared" si="126"/>
        <v>20,0221142911922-28,6865071092758i</v>
      </c>
      <c r="AD141" s="68">
        <f t="shared" si="127"/>
        <v>30.8771071530688</v>
      </c>
      <c r="AE141" s="31">
        <f t="shared" si="128"/>
        <v>-55.0863930734097</v>
      </c>
      <c r="AF141" s="32" t="str">
        <f t="shared" si="129"/>
        <v>326,048966736478</v>
      </c>
      <c r="AG141" s="32" t="str">
        <f t="shared" si="110"/>
        <v>1+0,896311883473323i</v>
      </c>
      <c r="AH141" s="32">
        <f t="shared" si="130"/>
        <v>1.34289798289203</v>
      </c>
      <c r="AI141" s="32">
        <f t="shared" si="131"/>
        <v>0.730773727561623</v>
      </c>
      <c r="AJ141" s="32" t="str">
        <f t="shared" si="111"/>
        <v>1+0,0167311551581687i</v>
      </c>
      <c r="AK141" s="32">
        <f t="shared" si="132"/>
        <v>1.00013995598262</v>
      </c>
      <c r="AL141" s="32">
        <f t="shared" si="133"/>
        <v>0.016729594227584</v>
      </c>
      <c r="AM141" s="32" t="str">
        <f t="shared" si="112"/>
        <v>1-0,0027612230411349i</v>
      </c>
      <c r="AN141" s="32">
        <f t="shared" si="134"/>
        <v>1.00000381216908</v>
      </c>
      <c r="AO141" s="32">
        <f t="shared" si="135"/>
        <v>-0.00276121602365423</v>
      </c>
      <c r="AP141" s="30" t="str">
        <f t="shared" si="136"/>
        <v>183,071533030296-159,534308648596i</v>
      </c>
      <c r="AQ141" s="32">
        <f t="shared" si="137"/>
        <v>47.7060448042762</v>
      </c>
      <c r="AR141" s="31">
        <f t="shared" si="138"/>
        <v>-41.0699212505964</v>
      </c>
      <c r="AS141" t="str">
        <f t="shared" si="113"/>
        <v>-0,000100699300699301</v>
      </c>
      <c r="AT141" t="str">
        <f t="shared" si="114"/>
        <v>0,000239763428829114i</v>
      </c>
      <c r="AU141">
        <f t="shared" si="139"/>
        <v>0.000239763428829114</v>
      </c>
      <c r="AV141">
        <f t="shared" si="140"/>
        <v>1.5707963267949</v>
      </c>
      <c r="AW141" t="str">
        <f t="shared" si="115"/>
        <v>1+0,0122754477863529i</v>
      </c>
      <c r="AX141">
        <f t="shared" si="141"/>
        <v>1.00007534047108</v>
      </c>
      <c r="AY141">
        <f t="shared" si="142"/>
        <v>0.012274831260188</v>
      </c>
      <c r="AZ141" t="str">
        <f t="shared" si="116"/>
        <v>1+0,586870876083722i</v>
      </c>
      <c r="BA141">
        <f t="shared" si="143"/>
        <v>1.15949015743786</v>
      </c>
      <c r="BB141">
        <f t="shared" si="144"/>
        <v>0.530709794924267</v>
      </c>
      <c r="BC141" s="30" t="str">
        <f t="shared" si="145"/>
        <v>-0,241290510727053+0,422956362688678i</v>
      </c>
      <c r="BD141" s="32">
        <f t="shared" si="146"/>
        <v>-6.2504427694117</v>
      </c>
      <c r="BE141" s="31">
        <f t="shared" si="147"/>
        <v>119.70413536997</v>
      </c>
      <c r="BF141" s="30" t="str">
        <f t="shared" si="148"/>
        <v>7,301994522025+15,390262585312i</v>
      </c>
      <c r="BG141" s="68">
        <f t="shared" si="149"/>
        <v>24.6266643836571</v>
      </c>
      <c r="BH141" s="31">
        <f t="shared" si="150"/>
        <v>64.6177422965601</v>
      </c>
      <c r="BI141" s="30" t="str">
        <f t="shared" si="156"/>
        <v>23,3026272055984+115,925384534641i</v>
      </c>
      <c r="BJ141" s="68">
        <f t="shared" si="151"/>
        <v>41.4556020348645</v>
      </c>
      <c r="BK141" s="31">
        <f t="shared" si="157"/>
        <v>78.6342141193735</v>
      </c>
      <c r="BL141" s="32">
        <f t="shared" si="152"/>
        <v>24.6266643836571</v>
      </c>
      <c r="BM141" s="31">
        <f t="shared" si="153"/>
        <v>64.6177422965601</v>
      </c>
      <c r="BO141">
        <f t="shared" si="154"/>
        <v>0</v>
      </c>
      <c r="BP141">
        <f t="shared" si="155"/>
        <v>0</v>
      </c>
    </row>
    <row r="142" spans="14:68">
      <c r="N142" s="7">
        <v>24</v>
      </c>
      <c r="O142" s="18">
        <f t="shared" si="158"/>
        <v>173.780082874938</v>
      </c>
      <c r="P142" s="86" t="str">
        <f t="shared" si="105"/>
        <v>60</v>
      </c>
      <c r="Q142" s="4" t="str">
        <f t="shared" si="106"/>
        <v>1+1,42673948550967i</v>
      </c>
      <c r="R142" s="4">
        <f t="shared" si="118"/>
        <v>1.74229318988292</v>
      </c>
      <c r="S142" s="4">
        <f t="shared" si="119"/>
        <v>0.959467392461998</v>
      </c>
      <c r="T142" s="4" t="str">
        <f t="shared" si="107"/>
        <v>1+0,0171208738261161i</v>
      </c>
      <c r="U142" s="4">
        <f t="shared" si="120"/>
        <v>1.00014655142163</v>
      </c>
      <c r="V142" s="4">
        <f t="shared" si="121"/>
        <v>0.0171192012720967</v>
      </c>
      <c r="W142" t="str">
        <f t="shared" si="108"/>
        <v>1-0,0238851476368807i</v>
      </c>
      <c r="X142" s="4">
        <f t="shared" si="122"/>
        <v>1.0002852094666</v>
      </c>
      <c r="Y142" s="4">
        <f t="shared" si="123"/>
        <v>-0.0238806070299105</v>
      </c>
      <c r="Z142" t="str">
        <f t="shared" si="109"/>
        <v>0,999999753473329+0,00637308662311173i</v>
      </c>
      <c r="AA142" s="4">
        <f t="shared" si="124"/>
        <v>1.00002006138868</v>
      </c>
      <c r="AB142" s="4">
        <f t="shared" si="125"/>
        <v>0.00637300191269615</v>
      </c>
      <c r="AC142" s="67" t="str">
        <f t="shared" si="126"/>
        <v>19,4014407145718-28,4691678080087i</v>
      </c>
      <c r="AD142" s="68">
        <f t="shared" si="127"/>
        <v>30.7441757574565</v>
      </c>
      <c r="AE142" s="31">
        <f t="shared" si="128"/>
        <v>-55.7259782944192</v>
      </c>
      <c r="AF142" s="32" t="str">
        <f t="shared" si="129"/>
        <v>326,048966736478</v>
      </c>
      <c r="AG142" s="32" t="str">
        <f t="shared" si="110"/>
        <v>1+0,917189669256219i</v>
      </c>
      <c r="AH142" s="32">
        <f t="shared" si="130"/>
        <v>1.35692184350844</v>
      </c>
      <c r="AI142" s="32">
        <f t="shared" si="131"/>
        <v>0.742231391613519</v>
      </c>
      <c r="AJ142" s="32" t="str">
        <f t="shared" si="111"/>
        <v>1+0,0171208738261161i</v>
      </c>
      <c r="AK142" s="32">
        <f t="shared" si="132"/>
        <v>1.00014655142163</v>
      </c>
      <c r="AL142" s="32">
        <f t="shared" si="133"/>
        <v>0.0171192012720967</v>
      </c>
      <c r="AM142" s="32" t="str">
        <f t="shared" si="112"/>
        <v>1-0,00282554018811751i</v>
      </c>
      <c r="AN142" s="32">
        <f t="shared" si="134"/>
        <v>1.00000399183071</v>
      </c>
      <c r="AO142" s="32">
        <f t="shared" si="135"/>
        <v>-0.00282553266875312</v>
      </c>
      <c r="AP142" s="30" t="str">
        <f t="shared" si="136"/>
        <v>179,4118633303-159,893728826737i</v>
      </c>
      <c r="AQ142" s="32">
        <f t="shared" si="137"/>
        <v>47.6158673992034</v>
      </c>
      <c r="AR142" s="31">
        <f t="shared" si="138"/>
        <v>-41.7077592768462</v>
      </c>
      <c r="AS142" t="str">
        <f t="shared" si="113"/>
        <v>-0,000100699300699301</v>
      </c>
      <c r="AT142" t="str">
        <f t="shared" si="114"/>
        <v>0,000245348236526039i</v>
      </c>
      <c r="AU142">
        <f t="shared" si="139"/>
        <v>0.000245348236526039</v>
      </c>
      <c r="AV142">
        <f t="shared" si="140"/>
        <v>1.5707963267949</v>
      </c>
      <c r="AW142" t="str">
        <f t="shared" si="115"/>
        <v>1+0,0125613796968833i</v>
      </c>
      <c r="AX142">
        <f t="shared" si="141"/>
        <v>1.00007889101805</v>
      </c>
      <c r="AY142">
        <f t="shared" si="142"/>
        <v>0.01256071908001</v>
      </c>
      <c r="AZ142" t="str">
        <f t="shared" si="116"/>
        <v>1+0,600540854870142i</v>
      </c>
      <c r="BA142">
        <f t="shared" si="143"/>
        <v>1.16646873870163</v>
      </c>
      <c r="BB142">
        <f t="shared" si="144"/>
        <v>0.540817092783624</v>
      </c>
      <c r="BC142" s="30" t="str">
        <f t="shared" si="145"/>
        <v>-0,241288797438677+0,413465093787043i</v>
      </c>
      <c r="BD142" s="32">
        <f t="shared" si="146"/>
        <v>-6.39835285024158</v>
      </c>
      <c r="BE142" s="31">
        <f t="shared" si="147"/>
        <v>120.266860714103</v>
      </c>
      <c r="BF142" s="30" t="str">
        <f t="shared" si="148"/>
        <v>7,08965683918056+14,8911097691285i</v>
      </c>
      <c r="BG142" s="68">
        <f t="shared" si="149"/>
        <v>24.3458229072149</v>
      </c>
      <c r="BH142" s="31">
        <f t="shared" si="150"/>
        <v>64.5408824196835</v>
      </c>
      <c r="BI142" s="30" t="str">
        <f t="shared" si="156"/>
        <v>22,8204028361065+112,76110844496i</v>
      </c>
      <c r="BJ142" s="68">
        <f t="shared" si="151"/>
        <v>41.2175145489618</v>
      </c>
      <c r="BK142" s="31">
        <f t="shared" si="157"/>
        <v>78.5591014372565</v>
      </c>
      <c r="BL142" s="32">
        <f t="shared" si="152"/>
        <v>24.3458229072149</v>
      </c>
      <c r="BM142" s="31">
        <f t="shared" si="153"/>
        <v>64.5408824196835</v>
      </c>
      <c r="BO142">
        <f t="shared" si="154"/>
        <v>0</v>
      </c>
      <c r="BP142">
        <f t="shared" si="155"/>
        <v>0</v>
      </c>
    </row>
    <row r="143" spans="14:68">
      <c r="N143" s="7">
        <v>25</v>
      </c>
      <c r="O143" s="18">
        <f t="shared" si="158"/>
        <v>177.827941003892</v>
      </c>
      <c r="P143" s="86" t="str">
        <f t="shared" si="105"/>
        <v>60</v>
      </c>
      <c r="Q143" s="4" t="str">
        <f t="shared" si="106"/>
        <v>1+1,45997251733229i</v>
      </c>
      <c r="R143" s="4">
        <f t="shared" si="118"/>
        <v>1.76961005630212</v>
      </c>
      <c r="S143" s="4">
        <f t="shared" si="119"/>
        <v>0.970246419384517</v>
      </c>
      <c r="T143" s="4" t="str">
        <f t="shared" si="107"/>
        <v>1+0,0175196702079875i</v>
      </c>
      <c r="U143" s="4">
        <f t="shared" si="120"/>
        <v>1.00015345764747</v>
      </c>
      <c r="V143" s="4">
        <f t="shared" si="121"/>
        <v>0.0175178780489177</v>
      </c>
      <c r="W143" t="str">
        <f t="shared" si="108"/>
        <v>1-0,0244415041964111i</v>
      </c>
      <c r="X143" s="4">
        <f t="shared" si="122"/>
        <v>1.00029864896809</v>
      </c>
      <c r="Y143" s="4">
        <f t="shared" si="123"/>
        <v>-0.0244366389268348</v>
      </c>
      <c r="Z143" t="str">
        <f t="shared" si="109"/>
        <v>0,999999741854885+0,00652153488062842i</v>
      </c>
      <c r="AA143" s="4">
        <f t="shared" si="124"/>
        <v>1.00002100684287</v>
      </c>
      <c r="AB143" s="4">
        <f t="shared" si="125"/>
        <v>0.00652144411188575</v>
      </c>
      <c r="AC143" s="67" t="str">
        <f t="shared" si="126"/>
        <v>18,7904402680514-28,240262064616i</v>
      </c>
      <c r="AD143" s="68">
        <f t="shared" si="127"/>
        <v>30.60921745248</v>
      </c>
      <c r="AE143" s="31">
        <f t="shared" si="128"/>
        <v>-56.3610919401193</v>
      </c>
      <c r="AF143" s="32" t="str">
        <f t="shared" si="129"/>
        <v>326,048966736478</v>
      </c>
      <c r="AG143" s="32" t="str">
        <f t="shared" si="110"/>
        <v>1+0,938553761142186i</v>
      </c>
      <c r="AH143" s="32">
        <f t="shared" si="130"/>
        <v>1.37145293851234</v>
      </c>
      <c r="AI143" s="32">
        <f t="shared" si="131"/>
        <v>0.753711823709359</v>
      </c>
      <c r="AJ143" s="32" t="str">
        <f t="shared" si="111"/>
        <v>1+0,0175196702079875i</v>
      </c>
      <c r="AK143" s="32">
        <f t="shared" si="132"/>
        <v>1.00015345764747</v>
      </c>
      <c r="AL143" s="32">
        <f t="shared" si="133"/>
        <v>0.0175178780489177</v>
      </c>
      <c r="AM143" s="32" t="str">
        <f t="shared" si="112"/>
        <v>1-0,00289135547390828i</v>
      </c>
      <c r="AN143" s="32">
        <f t="shared" si="134"/>
        <v>1.0000041799595</v>
      </c>
      <c r="AO143" s="32">
        <f t="shared" si="135"/>
        <v>-0.002891347416766</v>
      </c>
      <c r="AP143" s="30" t="str">
        <f t="shared" si="136"/>
        <v>175,737635227509-160,16967161287i</v>
      </c>
      <c r="AQ143" s="32">
        <f t="shared" si="137"/>
        <v>47.5234074983505</v>
      </c>
      <c r="AR143" s="31">
        <f t="shared" si="138"/>
        <v>-42.3464679935135</v>
      </c>
      <c r="AS143" t="str">
        <f t="shared" si="113"/>
        <v>-0,000100699300699301</v>
      </c>
      <c r="AT143" t="str">
        <f t="shared" si="114"/>
        <v>0,000251063131105535i</v>
      </c>
      <c r="AU143">
        <f t="shared" si="139"/>
        <v>0.000251063131105535</v>
      </c>
      <c r="AV143">
        <f t="shared" si="140"/>
        <v>1.5707963267949</v>
      </c>
      <c r="AW143" t="str">
        <f t="shared" si="115"/>
        <v>1+0,0128539718171983i</v>
      </c>
      <c r="AX143">
        <f t="shared" si="141"/>
        <v>1.00008260888362</v>
      </c>
      <c r="AY143">
        <f t="shared" si="142"/>
        <v>0.0128532639566231</v>
      </c>
      <c r="AZ143" t="str">
        <f t="shared" si="116"/>
        <v>1+0,614529248366907i</v>
      </c>
      <c r="BA143">
        <f t="shared" si="143"/>
        <v>1.17373173983598</v>
      </c>
      <c r="BB143">
        <f t="shared" si="144"/>
        <v>0.551034329225487</v>
      </c>
      <c r="BC143" s="30" t="str">
        <f t="shared" si="145"/>
        <v>-0,241287003431585+0,404193047522261i</v>
      </c>
      <c r="BD143" s="32">
        <f t="shared" si="146"/>
        <v>-6.54447024790564</v>
      </c>
      <c r="BE143" s="31">
        <f t="shared" si="147"/>
        <v>120.835503653761</v>
      </c>
      <c r="BF143" s="30" t="str">
        <f t="shared" si="148"/>
        <v>6,88062856128613+14,4089735259226i</v>
      </c>
      <c r="BG143" s="68">
        <f t="shared" si="149"/>
        <v>24.0647472045744</v>
      </c>
      <c r="BH143" s="31">
        <f t="shared" si="150"/>
        <v>64.4744117136413</v>
      </c>
      <c r="BI143" s="30" t="str">
        <f t="shared" si="156"/>
        <v>22,3362602956471+109,678790451053i</v>
      </c>
      <c r="BJ143" s="68">
        <f t="shared" si="151"/>
        <v>40.9789372504449</v>
      </c>
      <c r="BK143" s="31">
        <f t="shared" si="157"/>
        <v>78.4890356602471</v>
      </c>
      <c r="BL143" s="32">
        <f t="shared" si="152"/>
        <v>24.0647472045744</v>
      </c>
      <c r="BM143" s="31">
        <f t="shared" si="153"/>
        <v>64.4744117136413</v>
      </c>
      <c r="BO143">
        <f t="shared" si="154"/>
        <v>0</v>
      </c>
      <c r="BP143">
        <f t="shared" si="155"/>
        <v>0</v>
      </c>
    </row>
    <row r="144" spans="14:68">
      <c r="N144" s="7">
        <v>26</v>
      </c>
      <c r="O144" s="18">
        <f t="shared" si="158"/>
        <v>181.970085860998</v>
      </c>
      <c r="P144" s="86" t="str">
        <f t="shared" si="105"/>
        <v>60</v>
      </c>
      <c r="Q144" s="4" t="str">
        <f t="shared" si="106"/>
        <v>1+1,49397964590862i</v>
      </c>
      <c r="R144" s="4">
        <f t="shared" si="118"/>
        <v>1.79776950201889</v>
      </c>
      <c r="S144" s="4">
        <f t="shared" si="119"/>
        <v>0.980936147227367</v>
      </c>
      <c r="T144" s="4" t="str">
        <f t="shared" si="107"/>
        <v>1+0,0179277557509035i</v>
      </c>
      <c r="U144" s="4">
        <f t="shared" si="120"/>
        <v>1.00016068930261</v>
      </c>
      <c r="V144" s="4">
        <f t="shared" si="121"/>
        <v>0.017925835434525</v>
      </c>
      <c r="W144" t="str">
        <f t="shared" si="108"/>
        <v>1-0,0250108199649882i</v>
      </c>
      <c r="X144" s="4">
        <f t="shared" si="122"/>
        <v>1.00031272166024</v>
      </c>
      <c r="Y144" s="4">
        <f t="shared" si="123"/>
        <v>-0.0250056068227306</v>
      </c>
      <c r="Z144" t="str">
        <f t="shared" si="109"/>
        <v>0,99999972968888+0,00667344094226158i</v>
      </c>
      <c r="AA144" s="4">
        <f t="shared" si="124"/>
        <v>1.00002199685399</v>
      </c>
      <c r="AB144" s="4">
        <f t="shared" si="125"/>
        <v>0.00667334368191704</v>
      </c>
      <c r="AC144" s="67" t="str">
        <f t="shared" si="126"/>
        <v>18,1895209320347-28,0003074545149i</v>
      </c>
      <c r="AD144" s="68">
        <f t="shared" si="127"/>
        <v>30.4722652334917</v>
      </c>
      <c r="AE144" s="31">
        <f t="shared" si="128"/>
        <v>-56.9914966566274</v>
      </c>
      <c r="AF144" s="32" t="str">
        <f t="shared" si="129"/>
        <v>326,048966736478</v>
      </c>
      <c r="AG144" s="32" t="str">
        <f t="shared" si="110"/>
        <v>1+0,960415486655546i</v>
      </c>
      <c r="AH144" s="32">
        <f t="shared" si="130"/>
        <v>1.38650564622284</v>
      </c>
      <c r="AI144" s="32">
        <f t="shared" si="131"/>
        <v>0.765209006953344</v>
      </c>
      <c r="AJ144" s="32" t="str">
        <f t="shared" si="111"/>
        <v>1+0,0179277557509035i</v>
      </c>
      <c r="AK144" s="32">
        <f t="shared" si="132"/>
        <v>1.00016068930261</v>
      </c>
      <c r="AL144" s="32">
        <f t="shared" si="133"/>
        <v>0.017925835434525</v>
      </c>
      <c r="AM144" s="32" t="str">
        <f t="shared" si="112"/>
        <v>1-0,00295870379464294i</v>
      </c>
      <c r="AN144" s="32">
        <f t="shared" si="134"/>
        <v>1.00000437695449</v>
      </c>
      <c r="AO144" s="32">
        <f t="shared" si="135"/>
        <v>-0.00295869516126148</v>
      </c>
      <c r="AP144" s="30" t="str">
        <f t="shared" si="136"/>
        <v>172,052677610883-160,361412174682i</v>
      </c>
      <c r="AQ144" s="32">
        <f t="shared" si="137"/>
        <v>47.4286573504066</v>
      </c>
      <c r="AR144" s="31">
        <f t="shared" si="138"/>
        <v>-42.9856925747851</v>
      </c>
      <c r="AS144" t="str">
        <f t="shared" si="113"/>
        <v>-0,000100699300699301</v>
      </c>
      <c r="AT144" t="str">
        <f t="shared" si="114"/>
        <v>0,000256911142680358i</v>
      </c>
      <c r="AU144">
        <f t="shared" si="139"/>
        <v>0.000256911142680358</v>
      </c>
      <c r="AV144">
        <f t="shared" si="140"/>
        <v>1.5707963267949</v>
      </c>
      <c r="AW144" t="str">
        <f t="shared" si="115"/>
        <v>1+0,0131533792835134i</v>
      </c>
      <c r="AX144">
        <f t="shared" si="141"/>
        <v>1.00008650195199</v>
      </c>
      <c r="AY144">
        <f t="shared" si="142"/>
        <v>0.0131526208007849</v>
      </c>
      <c r="AZ144" t="str">
        <f t="shared" si="116"/>
        <v>1+0,628843473405416i</v>
      </c>
      <c r="BA144">
        <f t="shared" si="143"/>
        <v>1.18128917460738</v>
      </c>
      <c r="BB144">
        <f t="shared" si="144"/>
        <v>0.561358388341539</v>
      </c>
      <c r="BC144" s="30" t="str">
        <f t="shared" si="145"/>
        <v>-0,241285124904136+0,395135307587622i</v>
      </c>
      <c r="BD144" s="32">
        <f t="shared" si="146"/>
        <v>-6.68875655514418</v>
      </c>
      <c r="BE144" s="31">
        <f t="shared" si="147"/>
        <v>121.409876784815</v>
      </c>
      <c r="BF144" s="30" t="str">
        <f t="shared" si="148"/>
        <v>6,67504926855534+13,9433796298679i</v>
      </c>
      <c r="BG144" s="68">
        <f t="shared" si="149"/>
        <v>23.7835086783475</v>
      </c>
      <c r="BH144" s="31">
        <f t="shared" si="150"/>
        <v>64.4183801281877</v>
      </c>
      <c r="BI144" s="30" t="str">
        <f t="shared" si="156"/>
        <v>21,8507041173955+106,676911055422i</v>
      </c>
      <c r="BJ144" s="68">
        <f t="shared" si="151"/>
        <v>40.7399007952624</v>
      </c>
      <c r="BK144" s="31">
        <f t="shared" si="157"/>
        <v>78.4241842100299</v>
      </c>
      <c r="BL144" s="32">
        <f t="shared" si="152"/>
        <v>23.7835086783475</v>
      </c>
      <c r="BM144" s="31">
        <f t="shared" si="153"/>
        <v>64.4183801281877</v>
      </c>
      <c r="BO144">
        <f t="shared" si="154"/>
        <v>0</v>
      </c>
      <c r="BP144">
        <f t="shared" si="155"/>
        <v>0</v>
      </c>
    </row>
    <row r="145" spans="14:68">
      <c r="N145" s="7">
        <v>27</v>
      </c>
      <c r="O145" s="18">
        <f t="shared" si="158"/>
        <v>186.208713666287</v>
      </c>
      <c r="P145" s="86" t="str">
        <f t="shared" si="105"/>
        <v>60</v>
      </c>
      <c r="Q145" s="4" t="str">
        <f t="shared" si="106"/>
        <v>1+1,52877890226839i</v>
      </c>
      <c r="R145" s="4">
        <f t="shared" si="118"/>
        <v>1.82679088349514</v>
      </c>
      <c r="S145" s="4">
        <f t="shared" si="119"/>
        <v>0.991532471650831</v>
      </c>
      <c r="T145" s="4" t="str">
        <f t="shared" si="107"/>
        <v>1+0,0183453468272207i</v>
      </c>
      <c r="U145" s="4">
        <f t="shared" si="120"/>
        <v>1.0001682617191</v>
      </c>
      <c r="V145" s="4">
        <f t="shared" si="121"/>
        <v>0.0183432891898446</v>
      </c>
      <c r="W145" t="str">
        <f t="shared" si="108"/>
        <v>1-0,0255933968013682i</v>
      </c>
      <c r="X145" s="4">
        <f t="shared" si="122"/>
        <v>1.00032745736575</v>
      </c>
      <c r="Y145" s="4">
        <f t="shared" si="123"/>
        <v>-0.0255878109175527</v>
      </c>
      <c r="Z145" t="str">
        <f t="shared" si="109"/>
        <v>0,99999971694951+0,0068288853506158i</v>
      </c>
      <c r="AA145" s="4">
        <f t="shared" si="124"/>
        <v>1.00002303352184</v>
      </c>
      <c r="AB145" s="4">
        <f t="shared" si="125"/>
        <v>0.00682878113440863</v>
      </c>
      <c r="AC145" s="67" t="str">
        <f t="shared" si="126"/>
        <v>17,5990563284112-27,7498354724091i</v>
      </c>
      <c r="AD145" s="68">
        <f t="shared" si="127"/>
        <v>30.3333534037549</v>
      </c>
      <c r="AE145" s="31">
        <f t="shared" si="128"/>
        <v>-57.6169667335763</v>
      </c>
      <c r="AF145" s="32" t="str">
        <f t="shared" si="129"/>
        <v>326,048966736478</v>
      </c>
      <c r="AG145" s="32" t="str">
        <f t="shared" si="110"/>
        <v>1+0,982786437172538i</v>
      </c>
      <c r="AH145" s="32">
        <f t="shared" si="130"/>
        <v>1.40209456923928</v>
      </c>
      <c r="AI145" s="32">
        <f t="shared" si="131"/>
        <v>0.776716880294511</v>
      </c>
      <c r="AJ145" s="32" t="str">
        <f t="shared" si="111"/>
        <v>1+0,0183453468272207i</v>
      </c>
      <c r="AK145" s="32">
        <f t="shared" si="132"/>
        <v>1.0001682617191</v>
      </c>
      <c r="AL145" s="32">
        <f t="shared" si="133"/>
        <v>0.0183432891898446</v>
      </c>
      <c r="AM145" s="32" t="str">
        <f t="shared" si="112"/>
        <v>1-0,00302762085929262i</v>
      </c>
      <c r="AN145" s="32">
        <f t="shared" si="134"/>
        <v>1.00000458323353</v>
      </c>
      <c r="AO145" s="32">
        <f t="shared" si="135"/>
        <v>-0.00302761160846001</v>
      </c>
      <c r="AP145" s="30" t="str">
        <f t="shared" si="136"/>
        <v>168,36086455357-160,468445509296i</v>
      </c>
      <c r="AQ145" s="32">
        <f t="shared" si="137"/>
        <v>47.3316116111018</v>
      </c>
      <c r="AR145" s="31">
        <f t="shared" si="138"/>
        <v>-43.625075431647</v>
      </c>
      <c r="AS145" t="str">
        <f t="shared" si="113"/>
        <v>-0,000100699300699301</v>
      </c>
      <c r="AT145" t="str">
        <f t="shared" si="114"/>
        <v>0,000262895371943653i</v>
      </c>
      <c r="AU145">
        <f t="shared" si="139"/>
        <v>0.000262895371943653</v>
      </c>
      <c r="AV145">
        <f t="shared" si="140"/>
        <v>1.5707963267949</v>
      </c>
      <c r="AW145" t="str">
        <f t="shared" si="115"/>
        <v>1+0,0134597608456302i</v>
      </c>
      <c r="AX145">
        <f t="shared" si="141"/>
        <v>1.00009057847878</v>
      </c>
      <c r="AY145">
        <f t="shared" si="142"/>
        <v>0.0134589481207194</v>
      </c>
      <c r="AZ145" t="str">
        <f t="shared" si="116"/>
        <v>1+0,643491119577256i</v>
      </c>
      <c r="BA145">
        <f t="shared" si="143"/>
        <v>1.18915130281003</v>
      </c>
      <c r="BB145">
        <f t="shared" si="144"/>
        <v>0.571785940502563</v>
      </c>
      <c r="BC145" s="30" t="str">
        <f t="shared" si="145"/>
        <v>-0,241283157875767+0,386287071294104i</v>
      </c>
      <c r="BD145" s="32">
        <f t="shared" si="146"/>
        <v>-6.83117412177003</v>
      </c>
      <c r="BE145" s="31">
        <f t="shared" si="147"/>
        <v>121.989780251712</v>
      </c>
      <c r="BF145" s="30" t="str">
        <f t="shared" si="148"/>
        <v>6,47304678697759+13,4938558599578i</v>
      </c>
      <c r="BG145" s="68">
        <f t="shared" si="149"/>
        <v>23.5021792819849</v>
      </c>
      <c r="BH145" s="31">
        <f t="shared" si="150"/>
        <v>64.3728135181362</v>
      </c>
      <c r="BI145" s="30" t="str">
        <f t="shared" si="156"/>
        <v>21,3642447887238+103,75395856084i</v>
      </c>
      <c r="BJ145" s="68">
        <f t="shared" si="151"/>
        <v>40.5004374893317</v>
      </c>
      <c r="BK145" s="31">
        <f t="shared" si="157"/>
        <v>78.3647048200654</v>
      </c>
      <c r="BL145" s="32">
        <f t="shared" si="152"/>
        <v>23.5021792819849</v>
      </c>
      <c r="BM145" s="31">
        <f t="shared" si="153"/>
        <v>64.3728135181362</v>
      </c>
      <c r="BO145">
        <f t="shared" si="154"/>
        <v>0</v>
      </c>
      <c r="BP145">
        <f t="shared" si="155"/>
        <v>0</v>
      </c>
    </row>
    <row r="146" spans="14:68">
      <c r="N146" s="7">
        <v>28</v>
      </c>
      <c r="O146" s="18">
        <f t="shared" si="158"/>
        <v>190.546071796325</v>
      </c>
      <c r="P146" s="86" t="str">
        <f t="shared" si="105"/>
        <v>60</v>
      </c>
      <c r="Q146" s="4" t="str">
        <f t="shared" si="106"/>
        <v>1+1,56438873743791i</v>
      </c>
      <c r="R146" s="4">
        <f t="shared" si="118"/>
        <v>1.85669386863386</v>
      </c>
      <c r="S146" s="4">
        <f t="shared" si="119"/>
        <v>1.00203149262356</v>
      </c>
      <c r="T146" s="4" t="str">
        <f t="shared" si="107"/>
        <v>1+0,0187726648492549i</v>
      </c>
      <c r="U146" s="4">
        <f t="shared" si="120"/>
        <v>1.00017619095115</v>
      </c>
      <c r="V146" s="4">
        <f t="shared" si="121"/>
        <v>0.0187704600720596</v>
      </c>
      <c r="W146" t="str">
        <f t="shared" si="108"/>
        <v>1-0,0261895435955007i</v>
      </c>
      <c r="X146" s="4">
        <f t="shared" si="122"/>
        <v>1.00034288731102</v>
      </c>
      <c r="Y146" s="4">
        <f t="shared" si="123"/>
        <v>-0.026183558323955</v>
      </c>
      <c r="Z146" t="str">
        <f t="shared" si="109"/>
        <v>0,999999703609751+0,00698795052437384i</v>
      </c>
      <c r="AA146" s="4">
        <f t="shared" si="124"/>
        <v>1.0000241190452</v>
      </c>
      <c r="AB146" s="4">
        <f t="shared" si="125"/>
        <v>0.0069878388548414</v>
      </c>
      <c r="AC146" s="67" t="str">
        <f t="shared" si="126"/>
        <v>17,0193854254089-27,489388938363i</v>
      </c>
      <c r="AD146" s="68">
        <f t="shared" si="127"/>
        <v>30.1925174611835</v>
      </c>
      <c r="AE146" s="31">
        <f t="shared" si="128"/>
        <v>-58.2372883837738</v>
      </c>
      <c r="AF146" s="32" t="str">
        <f t="shared" si="129"/>
        <v>326,048966736478</v>
      </c>
      <c r="AG146" s="32" t="str">
        <f t="shared" si="110"/>
        <v>1+1,00567847406723i</v>
      </c>
      <c r="AH146" s="32">
        <f t="shared" si="130"/>
        <v>1.41823453391962</v>
      </c>
      <c r="AI146" s="32">
        <f t="shared" si="131"/>
        <v>0.788229354422548</v>
      </c>
      <c r="AJ146" s="32" t="str">
        <f t="shared" si="111"/>
        <v>1+0,0187726648492549i</v>
      </c>
      <c r="AK146" s="32">
        <f t="shared" si="132"/>
        <v>1.00017619095115</v>
      </c>
      <c r="AL146" s="32">
        <f t="shared" si="133"/>
        <v>0.0187704600720596</v>
      </c>
      <c r="AM146" s="32" t="str">
        <f t="shared" si="112"/>
        <v>1-0,00309814320859717i</v>
      </c>
      <c r="AN146" s="32">
        <f t="shared" si="134"/>
        <v>1.00000479923415</v>
      </c>
      <c r="AO146" s="32">
        <f t="shared" si="135"/>
        <v>-0.003098133296154</v>
      </c>
      <c r="AP146" s="30" t="str">
        <f t="shared" si="136"/>
        <v>164,666099101961-160,490489690438i</v>
      </c>
      <c r="AQ146" s="32">
        <f t="shared" si="137"/>
        <v>47.2322673666195</v>
      </c>
      <c r="AR146" s="31">
        <f t="shared" si="138"/>
        <v>-44.2642571173242</v>
      </c>
      <c r="AS146" t="str">
        <f t="shared" si="113"/>
        <v>-0,000100699300699301</v>
      </c>
      <c r="AT146" t="str">
        <f t="shared" si="114"/>
        <v>0,000269018991812982i</v>
      </c>
      <c r="AU146">
        <f t="shared" si="139"/>
        <v>0.000269018991812982</v>
      </c>
      <c r="AV146">
        <f t="shared" si="140"/>
        <v>1.5707963267949</v>
      </c>
      <c r="AW146" t="str">
        <f t="shared" si="115"/>
        <v>1+0,0137732789511083i</v>
      </c>
      <c r="AX146">
        <f t="shared" si="141"/>
        <v>1.00009484710855</v>
      </c>
      <c r="AY146">
        <f t="shared" si="142"/>
        <v>0.013772408105137</v>
      </c>
      <c r="AZ146" t="str">
        <f t="shared" si="116"/>
        <v>1+0,658479953258302i</v>
      </c>
      <c r="BA146">
        <f t="shared" si="143"/>
        <v>1.19732863026116</v>
      </c>
      <c r="BB146">
        <f t="shared" si="144"/>
        <v>0.582313443633931</v>
      </c>
      <c r="BC146" s="30" t="str">
        <f t="shared" si="145"/>
        <v>-0,24128109817858+0,377643647023189i</v>
      </c>
      <c r="BD146" s="32">
        <f t="shared" si="146"/>
        <v>-6.97168616773569</v>
      </c>
      <c r="BE146" s="31">
        <f t="shared" si="147"/>
        <v>122.575001815797</v>
      </c>
      <c r="BF146" s="30" t="str">
        <f t="shared" si="148"/>
        <v>6,27473708735513+13,0599327334511i</v>
      </c>
      <c r="BG146" s="68">
        <f t="shared" si="149"/>
        <v>23.2208312934478</v>
      </c>
      <c r="BH146" s="31">
        <f t="shared" si="150"/>
        <v>64.3377134320235</v>
      </c>
      <c r="BI146" s="30" t="str">
        <f t="shared" si="156"/>
        <v>20,8773966151305+100,908427805673i</v>
      </c>
      <c r="BJ146" s="68">
        <f t="shared" si="151"/>
        <v>40.2605811988837</v>
      </c>
      <c r="BK146" s="31">
        <f t="shared" si="157"/>
        <v>78.310744698473</v>
      </c>
      <c r="BL146" s="32">
        <f t="shared" si="152"/>
        <v>23.2208312934478</v>
      </c>
      <c r="BM146" s="31">
        <f t="shared" si="153"/>
        <v>64.3377134320235</v>
      </c>
      <c r="BO146">
        <f t="shared" si="154"/>
        <v>0</v>
      </c>
      <c r="BP146">
        <f t="shared" si="155"/>
        <v>0</v>
      </c>
    </row>
    <row r="147" spans="14:68">
      <c r="N147" s="7">
        <v>29</v>
      </c>
      <c r="O147" s="18">
        <f t="shared" si="158"/>
        <v>194.984459975805</v>
      </c>
      <c r="P147" s="86" t="str">
        <f t="shared" ref="P147:P210" si="159">COMPLEX(Adc,0)</f>
        <v>60</v>
      </c>
      <c r="Q147" s="4" t="str">
        <f t="shared" ref="Q147:Q210" si="160">IMSUM(COMPLEX(1,0),IMDIV(COMPLEX(0,2*PI()*O147),COMPLEX(wp_lf,0)))</f>
        <v>1+1,60082803222314i</v>
      </c>
      <c r="R147" s="4">
        <f t="shared" si="118"/>
        <v>1.88749844735073</v>
      </c>
      <c r="S147" s="4">
        <f t="shared" si="119"/>
        <v>1.01242951824101</v>
      </c>
      <c r="T147" s="4" t="str">
        <f t="shared" ref="T147:T210" si="161">IMSUM(COMPLEX(1,0),IMDIV(COMPLEX(0,2*PI()*O147),COMPLEX(wz_esr,0)))</f>
        <v>1+0,0192099363866777i</v>
      </c>
      <c r="U147" s="4">
        <f t="shared" si="120"/>
        <v>1.00018449380901</v>
      </c>
      <c r="V147" s="4">
        <f t="shared" si="121"/>
        <v>0.0192075739488845</v>
      </c>
      <c r="W147" t="str">
        <f t="shared" ref="W147:W210" si="162">IMSUB(COMPLEX(1,0),IMDIV(COMPLEX(0,2*PI()*O147),COMPLEX(wz_rhp,0)))</f>
        <v>1-0,026799576432307i</v>
      </c>
      <c r="X147" s="4">
        <f t="shared" si="122"/>
        <v>1.00035904419211</v>
      </c>
      <c r="Y147" s="4">
        <f t="shared" si="123"/>
        <v>-0.0267931632226122</v>
      </c>
      <c r="Z147" t="str">
        <f t="shared" ref="Z147:Z210" si="163">IMSUM(COMPLEX(1,0),IMDIV(COMPLEX(0,2*PI()*O147),COMPLEX(Q*(wsl/2),0)),IMDIV(IMPOWER(COMPLEX(0,2*PI()*O147),2),IMPOWER(COMPLEX(wsl/2,0),2)))</f>
        <v>0,999999689641309+0,00715072080199633i</v>
      </c>
      <c r="AA147" s="4">
        <f t="shared" si="124"/>
        <v>1.00002525572643</v>
      </c>
      <c r="AB147" s="4">
        <f t="shared" si="125"/>
        <v>0.00715060114609971</v>
      </c>
      <c r="AC147" s="67" t="str">
        <f t="shared" si="126"/>
        <v>16,4508124590729-27,2195194432318i</v>
      </c>
      <c r="AD147" s="68">
        <f t="shared" si="127"/>
        <v>30.049793984502</v>
      </c>
      <c r="AE147" s="31">
        <f t="shared" si="128"/>
        <v>-58.8522599668301</v>
      </c>
      <c r="AF147" s="32" t="str">
        <f t="shared" si="129"/>
        <v>326,048966736478</v>
      </c>
      <c r="AG147" s="32" t="str">
        <f t="shared" ref="AG147:AG210" si="164">IMSUM(COMPLEX(1,0),IMDIV(COMPLEX(0,2*PI()*O147),COMPLEX(wp_lf_DCM,0)))</f>
        <v>1+1,02910373500059i</v>
      </c>
      <c r="AH147" s="32">
        <f t="shared" si="130"/>
        <v>1.43494059019604</v>
      </c>
      <c r="AI147" s="32">
        <f t="shared" si="131"/>
        <v>0.799740327845544</v>
      </c>
      <c r="AJ147" s="32" t="str">
        <f t="shared" ref="AJ147:AJ210" si="165">IMSUM(COMPLEX(1,0),IMDIV(COMPLEX(0,2*PI()*O147),COMPLEX(wz1_dcm,0)))</f>
        <v>1+0,0192099363866777i</v>
      </c>
      <c r="AK147" s="32">
        <f t="shared" si="132"/>
        <v>1.00018449380901</v>
      </c>
      <c r="AL147" s="32">
        <f t="shared" si="133"/>
        <v>0.0192075739488845</v>
      </c>
      <c r="AM147" s="32" t="str">
        <f t="shared" ref="AM147:AM210" si="166">IMSUB(COMPLEX(1,0),IMDIV(COMPLEX(0,2*PI()*O147),COMPLEX(wz2_dcm,0)))</f>
        <v>1-0,00317030823443968i</v>
      </c>
      <c r="AN147" s="32">
        <f t="shared" si="134"/>
        <v>1.00000502541452</v>
      </c>
      <c r="AO147" s="32">
        <f t="shared" si="135"/>
        <v>-0.00317029761306835</v>
      </c>
      <c r="AP147" s="30" t="str">
        <f t="shared" si="136"/>
        <v>160,972296805064-160,427487687841i</v>
      </c>
      <c r="AQ147" s="32">
        <f t="shared" si="137"/>
        <v>47.1306241468312</v>
      </c>
      <c r="AR147" s="31">
        <f t="shared" si="138"/>
        <v>-44.9028772430313</v>
      </c>
      <c r="AS147" t="str">
        <f t="shared" ref="AS147:AS210" si="167">COMPLEX(Adc_ea,0)</f>
        <v>-0,000100699300699301</v>
      </c>
      <c r="AT147" t="str">
        <f t="shared" ref="AT147:AT210" si="168">COMPLEX(0,2*PI()*O147*wp0_ea)</f>
        <v>0,000275285249112658i</v>
      </c>
      <c r="AU147">
        <f t="shared" si="139"/>
        <v>0.000275285249112658</v>
      </c>
      <c r="AV147">
        <f t="shared" si="140"/>
        <v>1.5707963267949</v>
      </c>
      <c r="AW147" t="str">
        <f t="shared" ref="AW147:AW210" si="169">IMSUM(COMPLEX(1,0),IMDIV(COMPLEX(0,2*PI()*O147),COMPLEX(wp1_ea,0)))</f>
        <v>1+0,014094099831397i</v>
      </c>
      <c r="AX147">
        <f t="shared" si="141"/>
        <v>1.00009931689311</v>
      </c>
      <c r="AY147">
        <f t="shared" si="142"/>
        <v>0.0140931667081316</v>
      </c>
      <c r="AZ147" t="str">
        <f t="shared" ref="AZ147:AZ210" si="170">IMSUM(COMPLEX(1,0),IMDIV(COMPLEX(0,2*PI()*O147),COMPLEX(wz_ea,0)))</f>
        <v>1+0,673817921726575i</v>
      </c>
      <c r="BA147">
        <f t="shared" si="143"/>
        <v>1.20583190853449</v>
      </c>
      <c r="BB147">
        <f t="shared" si="144"/>
        <v>0.592937145404565</v>
      </c>
      <c r="BC147" s="30" t="str">
        <f t="shared" si="145"/>
        <v>-0,241278941448544+0,369200451738494i</v>
      </c>
      <c r="BD147" s="32">
        <f t="shared" si="146"/>
        <v>-7.11025689740398</v>
      </c>
      <c r="BE147" s="31">
        <f t="shared" si="147"/>
        <v>123.165316975866</v>
      </c>
      <c r="BF147" s="30" t="str">
        <f t="shared" si="148"/>
        <v>6,08022425845227+12,641144229356i</v>
      </c>
      <c r="BG147" s="68">
        <f t="shared" si="149"/>
        <v>22.939537087098</v>
      </c>
      <c r="BH147" s="31">
        <f t="shared" si="150"/>
        <v>64.313057009036</v>
      </c>
      <c r="BI147" s="30" t="str">
        <f t="shared" si="156"/>
        <v>20,3906755499559+98,1388191063841i</v>
      </c>
      <c r="BJ147" s="68">
        <f t="shared" si="151"/>
        <v>40.0203672494272</v>
      </c>
      <c r="BK147" s="31">
        <f t="shared" si="157"/>
        <v>78.2624397328348</v>
      </c>
      <c r="BL147" s="32">
        <f t="shared" si="152"/>
        <v>22.939537087098</v>
      </c>
      <c r="BM147" s="31">
        <f t="shared" si="153"/>
        <v>64.313057009036</v>
      </c>
      <c r="BO147">
        <f t="shared" si="154"/>
        <v>0</v>
      </c>
      <c r="BP147">
        <f t="shared" si="155"/>
        <v>0</v>
      </c>
    </row>
    <row r="148" spans="14:68">
      <c r="N148" s="7">
        <v>30</v>
      </c>
      <c r="O148" s="18">
        <f t="shared" si="158"/>
        <v>199.526231496888</v>
      </c>
      <c r="P148" s="86" t="str">
        <f t="shared" si="159"/>
        <v>60</v>
      </c>
      <c r="Q148" s="4" t="str">
        <f t="shared" si="160"/>
        <v>1+1,63811610722053i</v>
      </c>
      <c r="R148" s="4">
        <f t="shared" ref="R148:R211" si="171">IMABS(Q148)</f>
        <v>1.91922494271394</v>
      </c>
      <c r="S148" s="4">
        <f t="shared" ref="S148:S211" si="172">IMARGUMENT(Q148)</f>
        <v>1.02272306758276</v>
      </c>
      <c r="T148" s="4" t="str">
        <f t="shared" si="161"/>
        <v>1+0,0196573932866464i</v>
      </c>
      <c r="U148" s="4">
        <f t="shared" ref="U148:U211" si="173">IMABS(T148)</f>
        <v>1.00019318789463</v>
      </c>
      <c r="V148" s="4">
        <f t="shared" ref="V148:V211" si="174">IMARGUMENT(T148)</f>
        <v>0.01965486191535</v>
      </c>
      <c r="W148" t="str">
        <f t="shared" si="162"/>
        <v>1-0,0274238187592723i</v>
      </c>
      <c r="X148" s="4">
        <f t="shared" ref="X148:X211" si="175">IMABS(W148)</f>
        <v>1.00037596224387</v>
      </c>
      <c r="Y148" s="4">
        <f t="shared" ref="Y148:Y211" si="176">IMARGUMENT(W148)</f>
        <v>-0.0274169470207513</v>
      </c>
      <c r="Z148" t="str">
        <f t="shared" si="163"/>
        <v>0,999999675014555+0,00731728248643907i</v>
      </c>
      <c r="AA148" s="4">
        <f t="shared" ref="AA148:AA211" si="177">IMABS(Z148)</f>
        <v>1.00002644597641</v>
      </c>
      <c r="AB148" s="4">
        <f t="shared" ref="AB148:AB211" si="178">IMARGUMENT(Z148)</f>
        <v>0.00731715427301897</v>
      </c>
      <c r="AC148" s="67" t="str">
        <f t="shared" ref="AC148:AC211" si="179">(IMDIV(IMPRODUCT(P148,T148,W148),IMPRODUCT(Q148,Z148)))</f>
        <v>15,8936070613598-26,9407848525214i</v>
      </c>
      <c r="AD148" s="68">
        <f t="shared" ref="AD148:AD211" si="180">20*LOG(IMABS(AC148))</f>
        <v>29.9052205195302</v>
      </c>
      <c r="AE148" s="31">
        <f t="shared" ref="AE148:AE211" si="181">(180/PI())*IMARGUMENT(AC148)</f>
        <v>-59.4616921578159</v>
      </c>
      <c r="AF148" s="32" t="str">
        <f t="shared" ref="AF148:AF211" si="182">COMPLEX($B$68,0)</f>
        <v>326,048966736478</v>
      </c>
      <c r="AG148" s="32" t="str">
        <f t="shared" si="164"/>
        <v>1+1,05307464035605i</v>
      </c>
      <c r="AH148" s="32">
        <f t="shared" ref="AH148:AH211" si="183">IMABS(AG148)</f>
        <v>1.4522280117671</v>
      </c>
      <c r="AI148" s="32">
        <f t="shared" ref="AI148:AI211" si="184">IMARGUMENT(AG148)</f>
        <v>0.81124370304633</v>
      </c>
      <c r="AJ148" s="32" t="str">
        <f t="shared" si="165"/>
        <v>1+0,0196573932866464i</v>
      </c>
      <c r="AK148" s="32">
        <f t="shared" ref="AK148:AK211" si="185">IMABS(AJ148)</f>
        <v>1.00019318789463</v>
      </c>
      <c r="AL148" s="32">
        <f t="shared" ref="AL148:AL211" si="186">IMARGUMENT(AJ148)</f>
        <v>0.01965486191535</v>
      </c>
      <c r="AM148" s="32" t="str">
        <f t="shared" si="166"/>
        <v>1-0,0032441541996721i</v>
      </c>
      <c r="AN148" s="32">
        <f t="shared" ref="AN148:AN211" si="187">IMABS(AM148)</f>
        <v>1.00000526225439</v>
      </c>
      <c r="AO148" s="32">
        <f t="shared" ref="AO148:AO211" si="188">IMARGUMENT(AM148)</f>
        <v>-0.0032441428186709</v>
      </c>
      <c r="AP148" s="30" t="str">
        <f t="shared" ref="AP148:AP211" si="189">(IMDIV(IMPRODUCT(AF148,AJ148,AM148),IMPRODUCT(AG148)))</f>
        <v>157,28336913153-160,279607737067i</v>
      </c>
      <c r="AQ148" s="32">
        <f t="shared" ref="AQ148:AQ211" si="190">20*LOG(IMABS(AP148))</f>
        <v>47.0266839282395</v>
      </c>
      <c r="AR148" s="31">
        <f t="shared" ref="AR148:AR211" si="191">(180/PI())*IMARGUMENT(AP148)</f>
        <v>-45.5405753981045</v>
      </c>
      <c r="AS148" t="str">
        <f t="shared" si="167"/>
        <v>-0,000100699300699301</v>
      </c>
      <c r="AT148" t="str">
        <f t="shared" si="168"/>
        <v>0,000281697466295244i</v>
      </c>
      <c r="AU148">
        <f t="shared" ref="AU148:AU211" si="192">IMABS(AT148)</f>
        <v>0.000281697466295244</v>
      </c>
      <c r="AV148">
        <f t="shared" ref="AV148:AV211" si="193">IMARGUMENT(AT148)</f>
        <v>1.5707963267949</v>
      </c>
      <c r="AW148" t="str">
        <f t="shared" si="169"/>
        <v>1+0,0144223935899739i</v>
      </c>
      <c r="AX148">
        <f t="shared" ref="AX148:AX211" si="194">IMABS(AW148)</f>
        <v>1.00010399731071</v>
      </c>
      <c r="AY148">
        <f t="shared" ref="AY148:AY211" si="195">IMARGUMENT(AW148)</f>
        <v>0.0144213937359962</v>
      </c>
      <c r="AZ148" t="str">
        <f t="shared" si="170"/>
        <v>1+0,689513157375987i</v>
      </c>
      <c r="BA148">
        <f t="shared" ref="BA148:BA211" si="196">IMABS(AZ148)</f>
        <v>1.21467213444394</v>
      </c>
      <c r="BB148">
        <f t="shared" ref="BB148:BB211" si="197">IMARGUMENT(AZ148)</f>
        <v>0.603653086359425</v>
      </c>
      <c r="BC148" s="30" t="str">
        <f t="shared" ref="BC148:BC211" si="198">IMPRODUCT(AS148,IMDIV(AZ148,IMPRODUCT(AT148,AW148)))</f>
        <v>-0,24127668311628+0,360953008554944i</v>
      </c>
      <c r="BD148" s="32">
        <f t="shared" ref="BD148:BD211" si="199">20*LOG(IMABS(BC148))</f>
        <v>-7.24685161438662</v>
      </c>
      <c r="BE148" s="31">
        <f t="shared" ref="BE148:BE211" si="200">(180/PI())*IMARGUMENT(BC148)</f>
        <v>123.760489142672</v>
      </c>
      <c r="BF148" s="30" t="str">
        <f t="shared" ref="BF148:BF211" si="201">IMPRODUCT(AC148,BC148)</f>
        <v>5,88960055083068+12,2370284953536i</v>
      </c>
      <c r="BG148" s="68">
        <f t="shared" ref="BG148:BG211" si="202">20*LOG(IMABS(BF148))</f>
        <v>22.6583689051436</v>
      </c>
      <c r="BH148" s="31">
        <f t="shared" ref="BH148:BH211" si="203">(180/PI())*IMARGUMENT(BF148)</f>
        <v>64.2987969848564</v>
      </c>
      <c r="BI148" s="30" t="str">
        <f t="shared" si="156"/>
        <v>19,9045970092916+95,4436374096615i</v>
      </c>
      <c r="BJ148" s="68">
        <f t="shared" ref="BJ148:BJ211" si="204">20*LOG(IMABS(BI148))</f>
        <v>39.7798323138529</v>
      </c>
      <c r="BK148" s="31">
        <f t="shared" si="157"/>
        <v>78.2199137445678</v>
      </c>
      <c r="BL148" s="32">
        <f t="shared" ref="BL148:BL211" si="205">IF($B$31=0,BJ148,BG148)</f>
        <v>22.6583689051436</v>
      </c>
      <c r="BM148" s="31">
        <f t="shared" ref="BM148:BM211" si="206">IF($B$31=0,BK148,BH148)</f>
        <v>64.2987969848564</v>
      </c>
      <c r="BO148">
        <f t="shared" ref="BO148:BO211" si="207">SUM((BL149&lt;0)*(BL148&gt;0))*O148</f>
        <v>0</v>
      </c>
      <c r="BP148">
        <f t="shared" ref="BP148:BP211" si="208">IF(BO148&gt;0,BM148,0)</f>
        <v>0</v>
      </c>
    </row>
    <row r="149" spans="14:68">
      <c r="N149" s="7">
        <v>31</v>
      </c>
      <c r="O149" s="18">
        <f t="shared" si="158"/>
        <v>204.173794466953</v>
      </c>
      <c r="P149" s="86" t="str">
        <f t="shared" si="159"/>
        <v>60</v>
      </c>
      <c r="Q149" s="4" t="str">
        <f t="shared" si="160"/>
        <v>1+1,67627273306099i</v>
      </c>
      <c r="R149" s="4">
        <f t="shared" si="171"/>
        <v>1.95189402263641</v>
      </c>
      <c r="S149" s="4">
        <f t="shared" si="172"/>
        <v>1.03290887263438</v>
      </c>
      <c r="T149" s="4" t="str">
        <f t="shared" si="161"/>
        <v>1+0,0201152727967319i</v>
      </c>
      <c r="U149" s="4">
        <f t="shared" si="173"/>
        <v>1.00020229163889</v>
      </c>
      <c r="V149" s="4">
        <f t="shared" si="174"/>
        <v>0.0201125604131468</v>
      </c>
      <c r="W149" t="str">
        <f t="shared" si="162"/>
        <v>1-0,0280626015579407i</v>
      </c>
      <c r="X149" s="4">
        <f t="shared" si="175"/>
        <v>1.00039367731219</v>
      </c>
      <c r="Y149" s="4">
        <f t="shared" si="176"/>
        <v>-0.0280552385139412</v>
      </c>
      <c r="Z149" t="str">
        <f t="shared" si="163"/>
        <v>0,999999659698462+0,00748772389091177i</v>
      </c>
      <c r="AA149" s="4">
        <f t="shared" si="177"/>
        <v>1.00002769231962</v>
      </c>
      <c r="AB149" s="4">
        <f t="shared" si="178"/>
        <v>0.00748758650796241</v>
      </c>
      <c r="AC149" s="67" t="str">
        <f t="shared" si="179"/>
        <v>15,348004583159-26,6537468860239i</v>
      </c>
      <c r="AD149" s="68">
        <f t="shared" si="180"/>
        <v>29.7588354662572</v>
      </c>
      <c r="AE149" s="31">
        <f t="shared" si="181"/>
        <v>-60.0654080624176</v>
      </c>
      <c r="AF149" s="32" t="str">
        <f t="shared" si="182"/>
        <v>326,048966736478</v>
      </c>
      <c r="AG149" s="32" t="str">
        <f t="shared" si="164"/>
        <v>1+1,07760389982492i</v>
      </c>
      <c r="AH149" s="32">
        <f t="shared" si="183"/>
        <v>1.47011229670317</v>
      </c>
      <c r="AI149" s="32">
        <f t="shared" si="184"/>
        <v>0.822733402613139</v>
      </c>
      <c r="AJ149" s="32" t="str">
        <f t="shared" si="165"/>
        <v>1+0,0201152727967319i</v>
      </c>
      <c r="AK149" s="32">
        <f t="shared" si="185"/>
        <v>1.00020229163889</v>
      </c>
      <c r="AL149" s="32">
        <f t="shared" si="186"/>
        <v>0.0201125604131468</v>
      </c>
      <c r="AM149" s="32" t="str">
        <f t="shared" si="166"/>
        <v>1-0,00331972025840263i</v>
      </c>
      <c r="AN149" s="32">
        <f t="shared" si="187"/>
        <v>1.00000551025612</v>
      </c>
      <c r="AO149" s="32">
        <f t="shared" si="188"/>
        <v>-0.00331970806344376</v>
      </c>
      <c r="AP149" s="30" t="str">
        <f t="shared" si="189"/>
        <v>153,603206923371-160,047242255349i</v>
      </c>
      <c r="AQ149" s="32">
        <f t="shared" si="190"/>
        <v>46.9204511266055</v>
      </c>
      <c r="AR149" s="31">
        <f t="shared" si="191"/>
        <v>-46.1769920685462</v>
      </c>
      <c r="AS149" t="str">
        <f t="shared" si="167"/>
        <v>-0,000100699300699301</v>
      </c>
      <c r="AT149" t="str">
        <f t="shared" si="168"/>
        <v>0,000288259043203168i</v>
      </c>
      <c r="AU149">
        <f t="shared" si="192"/>
        <v>0.000288259043203168</v>
      </c>
      <c r="AV149">
        <f t="shared" si="193"/>
        <v>1.5707963267949</v>
      </c>
      <c r="AW149" t="str">
        <f t="shared" si="169"/>
        <v>1+0,0147583342925352i</v>
      </c>
      <c r="AX149">
        <f t="shared" si="194"/>
        <v>1.00010889828613</v>
      </c>
      <c r="AY149">
        <f t="shared" si="195"/>
        <v>0.0147572629359961</v>
      </c>
      <c r="AZ149" t="str">
        <f t="shared" si="170"/>
        <v>1+0,705573982028222i</v>
      </c>
      <c r="BA149">
        <f t="shared" si="196"/>
        <v>1.22386054929275</v>
      </c>
      <c r="BB149">
        <f t="shared" si="197"/>
        <v>0.614457104019172</v>
      </c>
      <c r="BC149" s="30" t="str">
        <f t="shared" si="198"/>
        <v>-0,241274318397403+0,352896944364154i</v>
      </c>
      <c r="BD149" s="32">
        <f t="shared" si="199"/>
        <v>-7.3814368362775</v>
      </c>
      <c r="BE149" s="31">
        <f t="shared" si="200"/>
        <v>124.360269868732</v>
      </c>
      <c r="BF149" s="30" t="str">
        <f t="shared" si="201"/>
        <v>5,70294648737151+11,8471285321462i</v>
      </c>
      <c r="BG149" s="68">
        <f t="shared" si="202"/>
        <v>22.3773986299797</v>
      </c>
      <c r="BH149" s="31">
        <f t="shared" si="203"/>
        <v>64.2948618063147</v>
      </c>
      <c r="BI149" s="30" t="str">
        <f t="shared" si="156"/>
        <v>19,4196736917306+92,8213916543359i</v>
      </c>
      <c r="BJ149" s="68">
        <f t="shared" si="204"/>
        <v>39.539014290328</v>
      </c>
      <c r="BK149" s="31">
        <f t="shared" si="157"/>
        <v>78.183277800186</v>
      </c>
      <c r="BL149" s="32">
        <f t="shared" si="205"/>
        <v>22.3773986299797</v>
      </c>
      <c r="BM149" s="31">
        <f t="shared" si="206"/>
        <v>64.2948618063147</v>
      </c>
      <c r="BO149">
        <f t="shared" si="207"/>
        <v>0</v>
      </c>
      <c r="BP149">
        <f t="shared" si="208"/>
        <v>0</v>
      </c>
    </row>
    <row r="150" spans="14:68">
      <c r="N150" s="7">
        <v>32</v>
      </c>
      <c r="O150" s="18">
        <f t="shared" si="158"/>
        <v>208.929613085404</v>
      </c>
      <c r="P150" s="86" t="str">
        <f t="shared" si="159"/>
        <v>60</v>
      </c>
      <c r="Q150" s="4" t="str">
        <f t="shared" si="160"/>
        <v>1+1,71531814089263i</v>
      </c>
      <c r="R150" s="4">
        <f t="shared" si="171"/>
        <v>1.9855267121032</v>
      </c>
      <c r="S150" s="4">
        <f t="shared" si="172"/>
        <v>1.04298387930561</v>
      </c>
      <c r="T150" s="4" t="str">
        <f t="shared" si="161"/>
        <v>1+0,0205838176907116i</v>
      </c>
      <c r="U150" s="4">
        <f t="shared" si="173"/>
        <v>1.00021182434059</v>
      </c>
      <c r="V150" s="4">
        <f t="shared" si="174"/>
        <v>0.0205809113525789</v>
      </c>
      <c r="W150" t="str">
        <f t="shared" si="162"/>
        <v>1-0,0287162635194079i</v>
      </c>
      <c r="X150" s="4">
        <f t="shared" si="175"/>
        <v>1.00041222692974</v>
      </c>
      <c r="Y150" s="4">
        <f t="shared" si="176"/>
        <v>-0.0287083740511885</v>
      </c>
      <c r="Z150" t="str">
        <f t="shared" si="163"/>
        <v>0,999999643660545+0,00766213538570324i</v>
      </c>
      <c r="AA150" s="4">
        <f t="shared" si="177"/>
        <v>1.00002899739952</v>
      </c>
      <c r="AB150" s="4">
        <f t="shared" si="178"/>
        <v>0.00766198817745132</v>
      </c>
      <c r="AC150" s="67" t="str">
        <f t="shared" si="179"/>
        <v>14,8142065991495-26,3589687887189i</v>
      </c>
      <c r="AD150" s="68">
        <f t="shared" si="180"/>
        <v>29.6106779673272</v>
      </c>
      <c r="AE150" s="31">
        <f t="shared" si="181"/>
        <v>-60.6632432804209</v>
      </c>
      <c r="AF150" s="32" t="str">
        <f t="shared" si="182"/>
        <v>326,048966736478</v>
      </c>
      <c r="AG150" s="32" t="str">
        <f t="shared" si="164"/>
        <v>1+1,10270451914526i</v>
      </c>
      <c r="AH150" s="32">
        <f t="shared" si="183"/>
        <v>1.48860916850038</v>
      </c>
      <c r="AI150" s="32">
        <f t="shared" si="184"/>
        <v>0.834203385240688</v>
      </c>
      <c r="AJ150" s="32" t="str">
        <f t="shared" si="165"/>
        <v>1+0,0205838176907116i</v>
      </c>
      <c r="AK150" s="32">
        <f t="shared" si="185"/>
        <v>1.00021182434059</v>
      </c>
      <c r="AL150" s="32">
        <f t="shared" si="186"/>
        <v>0.0205809113525789</v>
      </c>
      <c r="AM150" s="32" t="str">
        <f t="shared" si="166"/>
        <v>1-0,00339704647675588i</v>
      </c>
      <c r="AN150" s="32">
        <f t="shared" si="187"/>
        <v>1.00000576994574</v>
      </c>
      <c r="AO150" s="32">
        <f t="shared" si="188"/>
        <v>-0.0033970334096261</v>
      </c>
      <c r="AP150" s="30" t="str">
        <f t="shared" si="189"/>
        <v>149,935664034839-159,731005316416i</v>
      </c>
      <c r="AQ150" s="32">
        <f t="shared" si="190"/>
        <v>46.8119325793313</v>
      </c>
      <c r="AR150" s="31">
        <f t="shared" si="191"/>
        <v>-46.8117695480182</v>
      </c>
      <c r="AS150" t="str">
        <f t="shared" si="167"/>
        <v>-0,000100699300699301</v>
      </c>
      <c r="AT150" t="str">
        <f t="shared" si="168"/>
        <v>0,000294973458871357i</v>
      </c>
      <c r="AU150">
        <f t="shared" si="192"/>
        <v>0.000294973458871357</v>
      </c>
      <c r="AV150">
        <f t="shared" si="193"/>
        <v>1.5707963267949</v>
      </c>
      <c r="AW150" t="str">
        <f t="shared" si="169"/>
        <v>1+0,0151021000592881i</v>
      </c>
      <c r="AX150">
        <f t="shared" si="194"/>
        <v>1.00011403021166</v>
      </c>
      <c r="AY150">
        <f t="shared" si="195"/>
        <v>0.0151009520871427</v>
      </c>
      <c r="AZ150" t="str">
        <f t="shared" si="170"/>
        <v>1+0,722008911345111i</v>
      </c>
      <c r="BA150">
        <f t="shared" si="196"/>
        <v>1.23340863790625</v>
      </c>
      <c r="BB150">
        <f t="shared" si="197"/>
        <v>0.625344837963586</v>
      </c>
      <c r="BC150" s="30" t="str">
        <f t="shared" si="198"/>
        <v>-0,241271842282442+0,345027987514782i</v>
      </c>
      <c r="BD150" s="32">
        <f t="shared" si="199"/>
        <v>-7.51398040857106</v>
      </c>
      <c r="BE150" s="31">
        <f t="shared" si="200"/>
        <v>124.964399134383</v>
      </c>
      <c r="BF150" s="30" t="str">
        <f t="shared" si="201"/>
        <v>5,52033103600712+11,4709928498524i</v>
      </c>
      <c r="BG150" s="68">
        <f t="shared" si="202"/>
        <v>22.0966975587561</v>
      </c>
      <c r="BH150" s="31">
        <f t="shared" si="203"/>
        <v>64.3011558539625</v>
      </c>
      <c r="BI150" s="30" t="str">
        <f t="shared" si="156"/>
        <v>18,9364134225091+90,2705943409512i</v>
      </c>
      <c r="BJ150" s="68">
        <f t="shared" si="204"/>
        <v>39.2979521707602</v>
      </c>
      <c r="BK150" s="31">
        <f t="shared" si="157"/>
        <v>78.152629586365</v>
      </c>
      <c r="BL150" s="32">
        <f t="shared" si="205"/>
        <v>22.0966975587561</v>
      </c>
      <c r="BM150" s="31">
        <f t="shared" si="206"/>
        <v>64.3011558539625</v>
      </c>
      <c r="BO150">
        <f t="shared" si="207"/>
        <v>0</v>
      </c>
      <c r="BP150">
        <f t="shared" si="208"/>
        <v>0</v>
      </c>
    </row>
    <row r="151" spans="14:68">
      <c r="N151" s="7">
        <v>33</v>
      </c>
      <c r="O151" s="18">
        <f t="shared" si="158"/>
        <v>213.796208950223</v>
      </c>
      <c r="P151" s="86" t="str">
        <f t="shared" si="159"/>
        <v>60</v>
      </c>
      <c r="Q151" s="4" t="str">
        <f t="shared" si="160"/>
        <v>1+1,75527303310747i</v>
      </c>
      <c r="R151" s="4">
        <f t="shared" si="171"/>
        <v>2.02014440591615</v>
      </c>
      <c r="S151" s="4">
        <f t="shared" si="172"/>
        <v>1.05294524758224</v>
      </c>
      <c r="T151" s="4" t="str">
        <f t="shared" si="161"/>
        <v>1+0,0210632763972897i</v>
      </c>
      <c r="U151" s="4">
        <f t="shared" si="173"/>
        <v>1.0002218062073</v>
      </c>
      <c r="V151" s="4">
        <f t="shared" si="174"/>
        <v>0.0210601622371701</v>
      </c>
      <c r="W151" t="str">
        <f t="shared" si="162"/>
        <v>1-0,0293851512238974i</v>
      </c>
      <c r="X151" s="4">
        <f t="shared" si="175"/>
        <v>1.00043165039519</v>
      </c>
      <c r="Y151" s="4">
        <f t="shared" si="176"/>
        <v>-0.0293766977033759</v>
      </c>
      <c r="Z151" t="str">
        <f t="shared" si="163"/>
        <v>0,999999626866784+0,0078406094460965i</v>
      </c>
      <c r="AA151" s="4">
        <f t="shared" si="177"/>
        <v>1.00003036398411</v>
      </c>
      <c r="AB151" s="4">
        <f t="shared" si="178"/>
        <v>0.00784045170987133</v>
      </c>
      <c r="AC151" s="67" t="str">
        <f t="shared" si="179"/>
        <v>14,29238158029-26,057013106505i</v>
      </c>
      <c r="AD151" s="68">
        <f t="shared" si="180"/>
        <v>29.4607877985196</v>
      </c>
      <c r="AE151" s="31">
        <f t="shared" si="181"/>
        <v>-61.2550459196558</v>
      </c>
      <c r="AF151" s="32" t="str">
        <f t="shared" si="182"/>
        <v>326,048966736478</v>
      </c>
      <c r="AG151" s="32" t="str">
        <f t="shared" si="164"/>
        <v>1+1,12838980699766i</v>
      </c>
      <c r="AH151" s="32">
        <f t="shared" si="183"/>
        <v>1.50773457761511</v>
      </c>
      <c r="AI151" s="32">
        <f t="shared" si="184"/>
        <v>0.845647661499218</v>
      </c>
      <c r="AJ151" s="32" t="str">
        <f t="shared" si="165"/>
        <v>1+0,0210632763972897i</v>
      </c>
      <c r="AK151" s="32">
        <f t="shared" si="185"/>
        <v>1.0002218062073</v>
      </c>
      <c r="AL151" s="32">
        <f t="shared" si="186"/>
        <v>0.0210601622371701</v>
      </c>
      <c r="AM151" s="32" t="str">
        <f t="shared" si="166"/>
        <v>1-0,00347617385411631i</v>
      </c>
      <c r="AN151" s="32">
        <f t="shared" si="187"/>
        <v>1.00000604187408</v>
      </c>
      <c r="AO151" s="32">
        <f t="shared" si="188"/>
        <v>-0.00347615985243906</v>
      </c>
      <c r="AP151" s="30" t="str">
        <f t="shared" si="189"/>
        <v>146,2845413021-159,331728714528i</v>
      </c>
      <c r="AQ151" s="32">
        <f t="shared" si="190"/>
        <v>46.7011375177585</v>
      </c>
      <c r="AR151" s="31">
        <f t="shared" si="191"/>
        <v>-47.4445528354199</v>
      </c>
      <c r="AS151" t="str">
        <f t="shared" si="167"/>
        <v>-0,000100699300699301</v>
      </c>
      <c r="AT151" t="str">
        <f t="shared" si="168"/>
        <v>0,000301844273371874i</v>
      </c>
      <c r="AU151">
        <f t="shared" si="192"/>
        <v>0.000301844273371874</v>
      </c>
      <c r="AV151">
        <f t="shared" si="193"/>
        <v>1.5707963267949</v>
      </c>
      <c r="AW151" t="str">
        <f t="shared" si="169"/>
        <v>1+0,0154538731593922i</v>
      </c>
      <c r="AX151">
        <f t="shared" si="194"/>
        <v>1.00011940396916</v>
      </c>
      <c r="AY151">
        <f t="shared" si="195"/>
        <v>0.0154526430930081</v>
      </c>
      <c r="AZ151" t="str">
        <f t="shared" si="170"/>
        <v>1+0,738826659343706i</v>
      </c>
      <c r="BA151">
        <f t="shared" si="196"/>
        <v>1.24332812746957</v>
      </c>
      <c r="BB151">
        <f t="shared" si="197"/>
        <v>0.636311735907456</v>
      </c>
      <c r="BC151" s="30" t="str">
        <f t="shared" si="198"/>
        <v>-0,241269249526248+0,337341965546583i</v>
      </c>
      <c r="BD151" s="32">
        <f t="shared" si="199"/>
        <v>-7.64445161703063</v>
      </c>
      <c r="BE151" s="31">
        <f t="shared" si="200"/>
        <v>125.572605690589</v>
      </c>
      <c r="BF151" s="30" t="str">
        <f t="shared" si="201"/>
        <v>5,34181183980213+11,1081760917389i</v>
      </c>
      <c r="BG151" s="68">
        <f t="shared" si="202"/>
        <v>21.816336181489</v>
      </c>
      <c r="BH151" s="31">
        <f t="shared" si="203"/>
        <v>64.3175597709332</v>
      </c>
      <c r="BI151" s="30" t="str">
        <f t="shared" si="156"/>
        <v>18,4553170412447+87,7897613046046i</v>
      </c>
      <c r="BJ151" s="68">
        <f t="shared" si="204"/>
        <v>39.0566859007278</v>
      </c>
      <c r="BK151" s="31">
        <f t="shared" si="157"/>
        <v>78.1280528551691</v>
      </c>
      <c r="BL151" s="32">
        <f t="shared" si="205"/>
        <v>21.816336181489</v>
      </c>
      <c r="BM151" s="31">
        <f t="shared" si="206"/>
        <v>64.3175597709332</v>
      </c>
      <c r="BO151">
        <f t="shared" si="207"/>
        <v>0</v>
      </c>
      <c r="BP151">
        <f t="shared" si="208"/>
        <v>0</v>
      </c>
    </row>
    <row r="152" spans="14:68">
      <c r="N152" s="7">
        <v>34</v>
      </c>
      <c r="O152" s="18">
        <f t="shared" si="158"/>
        <v>218.776162394955</v>
      </c>
      <c r="P152" s="86" t="str">
        <f t="shared" si="159"/>
        <v>60</v>
      </c>
      <c r="Q152" s="4" t="str">
        <f t="shared" si="160"/>
        <v>1+1,79615859431826i</v>
      </c>
      <c r="R152" s="4">
        <f t="shared" si="171"/>
        <v>2.05576888193769</v>
      </c>
      <c r="S152" s="4">
        <f t="shared" si="172"/>
        <v>1.0627903508538</v>
      </c>
      <c r="T152" s="4" t="str">
        <f t="shared" si="161"/>
        <v>1+0,0215539031318192i</v>
      </c>
      <c r="U152" s="4">
        <f t="shared" si="173"/>
        <v>1.00023225839813</v>
      </c>
      <c r="V152" s="4">
        <f t="shared" si="174"/>
        <v>0.0215505662909782</v>
      </c>
      <c r="W152" t="str">
        <f t="shared" si="162"/>
        <v>1-0,0300696193245245i</v>
      </c>
      <c r="X152" s="4">
        <f t="shared" si="175"/>
        <v>1.0004519888562</v>
      </c>
      <c r="Y152" s="4">
        <f t="shared" si="176"/>
        <v>-0.0300605614350953</v>
      </c>
      <c r="Z152" t="str">
        <f t="shared" si="163"/>
        <v>0,999999609281557+0,00802324070140084i</v>
      </c>
      <c r="AA152" s="4">
        <f t="shared" si="177"/>
        <v>1.00003179497185</v>
      </c>
      <c r="AB152" s="4">
        <f t="shared" si="178"/>
        <v>0.00802307168428066</v>
      </c>
      <c r="AC152" s="67" t="str">
        <f t="shared" si="179"/>
        <v>13,7826657188746-25,7484395783269i</v>
      </c>
      <c r="AD152" s="68">
        <f t="shared" si="180"/>
        <v>29.3092052617522</v>
      </c>
      <c r="AE152" s="31">
        <f t="shared" si="181"/>
        <v>-61.840676562826</v>
      </c>
      <c r="AF152" s="32" t="str">
        <f t="shared" si="182"/>
        <v>326,048966736478</v>
      </c>
      <c r="AG152" s="32" t="str">
        <f t="shared" si="164"/>
        <v>1+1,15467338206174i</v>
      </c>
      <c r="AH152" s="32">
        <f t="shared" si="183"/>
        <v>1.52750470350893</v>
      </c>
      <c r="AI152" s="32">
        <f t="shared" si="184"/>
        <v>0.857060309271931</v>
      </c>
      <c r="AJ152" s="32" t="str">
        <f t="shared" si="165"/>
        <v>1+0,0215539031318192i</v>
      </c>
      <c r="AK152" s="32">
        <f t="shared" si="185"/>
        <v>1.00023225839813</v>
      </c>
      <c r="AL152" s="32">
        <f t="shared" si="186"/>
        <v>0.0215505662909782</v>
      </c>
      <c r="AM152" s="32" t="str">
        <f t="shared" si="166"/>
        <v>1-0,0035571443448668i</v>
      </c>
      <c r="AN152" s="32">
        <f t="shared" si="187"/>
        <v>1.00000632661793</v>
      </c>
      <c r="AO152" s="32">
        <f t="shared" si="188"/>
        <v>-0.00355712934180444</v>
      </c>
      <c r="AP152" s="30" t="str">
        <f t="shared" si="189"/>
        <v>142,653570984272-158,850456664503i</v>
      </c>
      <c r="AQ152" s="32">
        <f t="shared" si="190"/>
        <v>46.5880775296344</v>
      </c>
      <c r="AR152" s="31">
        <f t="shared" si="191"/>
        <v>-48.0749905133364</v>
      </c>
      <c r="AS152" t="str">
        <f t="shared" si="167"/>
        <v>-0,000100699300699301</v>
      </c>
      <c r="AT152" t="str">
        <f t="shared" si="168"/>
        <v>0,000308875129701515i</v>
      </c>
      <c r="AU152">
        <f t="shared" si="192"/>
        <v>0.000308875129701515</v>
      </c>
      <c r="AV152">
        <f t="shared" si="193"/>
        <v>1.5707963267949</v>
      </c>
      <c r="AW152" t="str">
        <f t="shared" si="169"/>
        <v>1+0,0158138401076017i</v>
      </c>
      <c r="AX152">
        <f t="shared" si="194"/>
        <v>1.0001250309531</v>
      </c>
      <c r="AY152">
        <f t="shared" si="195"/>
        <v>0.0158125220766235</v>
      </c>
      <c r="AZ152" t="str">
        <f t="shared" si="170"/>
        <v>1+0,756036143016615i</v>
      </c>
      <c r="BA152">
        <f t="shared" si="196"/>
        <v>1.25363098619468</v>
      </c>
      <c r="BB152">
        <f t="shared" si="197"/>
        <v>0.6473530607696</v>
      </c>
      <c r="BC152" s="30" t="str">
        <f t="shared" si="198"/>
        <v>-0,241266534636944+0,329834802977002i</v>
      </c>
      <c r="BD152" s="32">
        <f t="shared" si="199"/>
        <v>-7.77282129774743</v>
      </c>
      <c r="BE152" s="31">
        <f t="shared" si="200"/>
        <v>126.184607458526</v>
      </c>
      <c r="BF152" s="30" t="str">
        <f t="shared" si="201"/>
        <v>5,16743549923041+10,7582396212545i</v>
      </c>
      <c r="BG152" s="68">
        <f t="shared" si="202"/>
        <v>21.5363839640047</v>
      </c>
      <c r="BH152" s="31">
        <f t="shared" si="203"/>
        <v>64.3439308957</v>
      </c>
      <c r="BI152" s="30" t="str">
        <f t="shared" si="156"/>
        <v>17,9768763517825+85,3774116845038i</v>
      </c>
      <c r="BJ152" s="68">
        <f t="shared" si="204"/>
        <v>38.815256231887</v>
      </c>
      <c r="BK152" s="31">
        <f t="shared" si="157"/>
        <v>78.1096169451896</v>
      </c>
      <c r="BL152" s="32">
        <f t="shared" si="205"/>
        <v>21.5363839640047</v>
      </c>
      <c r="BM152" s="31">
        <f t="shared" si="206"/>
        <v>64.3439308957</v>
      </c>
      <c r="BO152">
        <f t="shared" si="207"/>
        <v>0</v>
      </c>
      <c r="BP152">
        <f t="shared" si="208"/>
        <v>0</v>
      </c>
    </row>
    <row r="153" spans="14:68">
      <c r="N153" s="7">
        <v>35</v>
      </c>
      <c r="O153" s="18">
        <f t="shared" si="158"/>
        <v>223.872113856834</v>
      </c>
      <c r="P153" s="86" t="str">
        <f t="shared" si="159"/>
        <v>60</v>
      </c>
      <c r="Q153" s="4" t="str">
        <f t="shared" si="160"/>
        <v>1+1,83799650259072i</v>
      </c>
      <c r="R153" s="4">
        <f t="shared" si="171"/>
        <v>2.09242231481499</v>
      </c>
      <c r="S153" s="4">
        <f t="shared" si="172"/>
        <v>1.07251677446325</v>
      </c>
      <c r="T153" s="4" t="str">
        <f t="shared" si="161"/>
        <v>1+0,0220559580310887i</v>
      </c>
      <c r="U153" s="4">
        <f t="shared" si="173"/>
        <v>1.00024320306847</v>
      </c>
      <c r="V153" s="4">
        <f t="shared" si="174"/>
        <v>0.0220523825886605</v>
      </c>
      <c r="W153" t="str">
        <f t="shared" si="162"/>
        <v>1-0,0307700307353357i</v>
      </c>
      <c r="X153" s="4">
        <f t="shared" si="175"/>
        <v>1.00047328539619</v>
      </c>
      <c r="Y153" s="4">
        <f t="shared" si="176"/>
        <v>-0.0307603252799065</v>
      </c>
      <c r="Z153" t="str">
        <f t="shared" si="163"/>
        <v>0,999999590867564+0,00821012598512516i</v>
      </c>
      <c r="AA153" s="4">
        <f t="shared" si="177"/>
        <v>1.00003329339777</v>
      </c>
      <c r="AB153" s="4">
        <f t="shared" si="178"/>
        <v>0.0082099448803436</v>
      </c>
      <c r="AC153" s="67" t="str">
        <f t="shared" si="179"/>
        <v>13,2851638905156-25,4338031542842i</v>
      </c>
      <c r="AD153" s="68">
        <f t="shared" si="180"/>
        <v>29.155971081089</v>
      </c>
      <c r="AE153" s="31">
        <f t="shared" si="181"/>
        <v>-62.4200081898576</v>
      </c>
      <c r="AF153" s="32" t="str">
        <f t="shared" si="182"/>
        <v>326,048966736478</v>
      </c>
      <c r="AG153" s="32" t="str">
        <f t="shared" si="164"/>
        <v>1+1,18156918023689i</v>
      </c>
      <c r="AH153" s="32">
        <f t="shared" si="183"/>
        <v>1.54793595723004</v>
      </c>
      <c r="AI153" s="32">
        <f t="shared" si="184"/>
        <v>0.868435488765025</v>
      </c>
      <c r="AJ153" s="32" t="str">
        <f t="shared" si="165"/>
        <v>1+0,0220559580310887i</v>
      </c>
      <c r="AK153" s="32">
        <f t="shared" si="185"/>
        <v>1.00024320306847</v>
      </c>
      <c r="AL153" s="32">
        <f t="shared" si="186"/>
        <v>0.0220523825886605</v>
      </c>
      <c r="AM153" s="32" t="str">
        <f t="shared" si="166"/>
        <v>1-0,0036400008806333i</v>
      </c>
      <c r="AN153" s="32">
        <f t="shared" si="187"/>
        <v>1.00000662478126</v>
      </c>
      <c r="AO153" s="32">
        <f t="shared" si="188"/>
        <v>-0.0036399848045681</v>
      </c>
      <c r="AP153" s="30" t="str">
        <f t="shared" si="189"/>
        <v>139,046401809243-158,288439200267i</v>
      </c>
      <c r="AQ153" s="32">
        <f t="shared" si="190"/>
        <v>46.4727665120821</v>
      </c>
      <c r="AR153" s="31">
        <f t="shared" si="191"/>
        <v>-48.7027356018722</v>
      </c>
      <c r="AS153" t="str">
        <f t="shared" si="167"/>
        <v>-0,000100699300699301</v>
      </c>
      <c r="AT153" t="str">
        <f t="shared" si="168"/>
        <v>0,00031606975571337i</v>
      </c>
      <c r="AU153">
        <f t="shared" si="192"/>
        <v>0.00031606975571337</v>
      </c>
      <c r="AV153">
        <f t="shared" si="193"/>
        <v>1.5707963267949</v>
      </c>
      <c r="AW153" t="str">
        <f t="shared" si="169"/>
        <v>1+0,016182191763157i</v>
      </c>
      <c r="AX153">
        <f t="shared" si="194"/>
        <v>1.0001309230947</v>
      </c>
      <c r="AY153">
        <f t="shared" si="195"/>
        <v>0.0161807794775039</v>
      </c>
      <c r="AZ153" t="str">
        <f t="shared" si="170"/>
        <v>1+0,773646487059869i</v>
      </c>
      <c r="BA153">
        <f t="shared" si="196"/>
        <v>1.26432942184388</v>
      </c>
      <c r="BB153">
        <f t="shared" si="197"/>
        <v>0.658463898726759</v>
      </c>
      <c r="BC153" s="30" t="str">
        <f t="shared" si="198"/>
        <v>-0,241263691864333+0,322502519139103i</v>
      </c>
      <c r="BD153" s="32">
        <f t="shared" si="199"/>
        <v>-7.8990619441204</v>
      </c>
      <c r="BE153" s="31">
        <f t="shared" si="200"/>
        <v>126.80011198548</v>
      </c>
      <c r="BF153" s="30" t="str">
        <f t="shared" si="201"/>
        <v>4,9972379012962+10,4207520690205i</v>
      </c>
      <c r="BG153" s="68">
        <f t="shared" si="202"/>
        <v>21.2569091369686</v>
      </c>
      <c r="BH153" s="31">
        <f t="shared" si="203"/>
        <v>64.3801037956225</v>
      </c>
      <c r="BI153" s="30" t="str">
        <f t="shared" si="156"/>
        <v>17,5015721517334+83,0320680816082i</v>
      </c>
      <c r="BJ153" s="68">
        <f t="shared" si="204"/>
        <v>38.5737045679617</v>
      </c>
      <c r="BK153" s="31">
        <f t="shared" si="157"/>
        <v>78.0973763836079</v>
      </c>
      <c r="BL153" s="32">
        <f t="shared" si="205"/>
        <v>21.2569091369686</v>
      </c>
      <c r="BM153" s="31">
        <f t="shared" si="206"/>
        <v>64.3801037956225</v>
      </c>
      <c r="BO153">
        <f t="shared" si="207"/>
        <v>0</v>
      </c>
      <c r="BP153">
        <f t="shared" si="208"/>
        <v>0</v>
      </c>
    </row>
    <row r="154" spans="14:68">
      <c r="N154" s="7">
        <v>36</v>
      </c>
      <c r="O154" s="18">
        <f t="shared" si="158"/>
        <v>229.086765276777</v>
      </c>
      <c r="P154" s="86" t="str">
        <f t="shared" si="159"/>
        <v>60</v>
      </c>
      <c r="Q154" s="4" t="str">
        <f t="shared" si="160"/>
        <v>1+1,88080894093762i</v>
      </c>
      <c r="R154" s="4">
        <f t="shared" si="171"/>
        <v>2.13012729016622</v>
      </c>
      <c r="S154" s="4">
        <f t="shared" si="172"/>
        <v>1.08212231352801</v>
      </c>
      <c r="T154" s="4" t="str">
        <f t="shared" si="161"/>
        <v>1+0,0225697072912514i</v>
      </c>
      <c r="U154" s="4">
        <f t="shared" si="173"/>
        <v>1.00025466341688</v>
      </c>
      <c r="V154" s="4">
        <f t="shared" si="174"/>
        <v>0.0225658761883434</v>
      </c>
      <c r="W154" t="str">
        <f t="shared" si="162"/>
        <v>1-0,0314867568237324i</v>
      </c>
      <c r="X154" s="4">
        <f t="shared" si="175"/>
        <v>1.00049558512533</v>
      </c>
      <c r="Y154" s="4">
        <f t="shared" si="176"/>
        <v>-0.0314763575190711</v>
      </c>
      <c r="Z154" t="str">
        <f t="shared" si="163"/>
        <v>0,999999571585747+0,0084013643863207i</v>
      </c>
      <c r="AA154" s="4">
        <f t="shared" si="177"/>
        <v>1.00003486243992</v>
      </c>
      <c r="AB154" s="4">
        <f t="shared" si="178"/>
        <v>0.00840117032941634</v>
      </c>
      <c r="AC154" s="67" t="str">
        <f t="shared" si="179"/>
        <v>12,7999507370679-25,1136521473298i</v>
      </c>
      <c r="AD154" s="68">
        <f t="shared" si="180"/>
        <v>29.0011263021807</v>
      </c>
      <c r="AE154" s="31">
        <f t="shared" si="181"/>
        <v>-62.9929260586141</v>
      </c>
      <c r="AF154" s="32" t="str">
        <f t="shared" si="182"/>
        <v>326,048966736478</v>
      </c>
      <c r="AG154" s="32" t="str">
        <f t="shared" si="164"/>
        <v>1+1,20909146203133i</v>
      </c>
      <c r="AH154" s="32">
        <f t="shared" si="183"/>
        <v>1.56904498455496</v>
      </c>
      <c r="AI154" s="32">
        <f t="shared" si="184"/>
        <v>0.879767456999733</v>
      </c>
      <c r="AJ154" s="32" t="str">
        <f t="shared" si="165"/>
        <v>1+0,0225697072912514i</v>
      </c>
      <c r="AK154" s="32">
        <f t="shared" si="185"/>
        <v>1.00025466341688</v>
      </c>
      <c r="AL154" s="32">
        <f t="shared" si="186"/>
        <v>0.0225658761883434</v>
      </c>
      <c r="AM154" s="32" t="str">
        <f t="shared" si="166"/>
        <v>1-0,00372478739304782i</v>
      </c>
      <c r="AN154" s="32">
        <f t="shared" si="187"/>
        <v>1.0000069369965</v>
      </c>
      <c r="AO154" s="32">
        <f t="shared" si="188"/>
        <v>-0.00372477016724006</v>
      </c>
      <c r="AP154" s="30" t="str">
        <f t="shared" si="189"/>
        <v>135,466584748567-157,647124348995i</v>
      </c>
      <c r="AQ154" s="32">
        <f t="shared" si="190"/>
        <v>46.3552206154908</v>
      </c>
      <c r="AR154" s="31">
        <f t="shared" si="191"/>
        <v>-49.3274463826741</v>
      </c>
      <c r="AS154" t="str">
        <f t="shared" si="167"/>
        <v>-0,000100699300699301</v>
      </c>
      <c r="AT154" t="str">
        <f t="shared" si="168"/>
        <v>0,00032343196609338i</v>
      </c>
      <c r="AU154">
        <f t="shared" si="192"/>
        <v>0.00032343196609338</v>
      </c>
      <c r="AV154">
        <f t="shared" si="193"/>
        <v>1.5707963267949</v>
      </c>
      <c r="AW154" t="str">
        <f t="shared" si="169"/>
        <v>1+0,0165591234309819i</v>
      </c>
      <c r="AX154">
        <f t="shared" si="194"/>
        <v>1.00013709288717</v>
      </c>
      <c r="AY154">
        <f t="shared" si="195"/>
        <v>0.0165576101508431</v>
      </c>
      <c r="AZ154" t="str">
        <f t="shared" si="170"/>
        <v>1+0,791667028710986i</v>
      </c>
      <c r="BA154">
        <f t="shared" si="196"/>
        <v>1.27543588013984</v>
      </c>
      <c r="BB154">
        <f t="shared" si="197"/>
        <v>0.669639168235326</v>
      </c>
      <c r="BC154" s="30" t="str">
        <f t="shared" si="198"/>
        <v>-0,241260715187779+0,315341226069676i</v>
      </c>
      <c r="BD154" s="32">
        <f t="shared" si="199"/>
        <v>-8.02314780998051</v>
      </c>
      <c r="BE154" s="31">
        <f t="shared" si="200"/>
        <v>127.418816956069</v>
      </c>
      <c r="BF154" s="30" t="str">
        <f t="shared" si="201"/>
        <v>4,83124459003299+10,0952898371003i</v>
      </c>
      <c r="BG154" s="68">
        <f t="shared" si="202"/>
        <v>20.9779784922002</v>
      </c>
      <c r="BH154" s="31">
        <f t="shared" si="203"/>
        <v>64.4258908974546</v>
      </c>
      <c r="BI154" s="30" t="str">
        <f t="shared" si="156"/>
        <v>17,0298723580856+80,75225689382i</v>
      </c>
      <c r="BJ154" s="68">
        <f t="shared" si="204"/>
        <v>38.3320728055103</v>
      </c>
      <c r="BK154" s="31">
        <f t="shared" si="157"/>
        <v>78.0913705733946</v>
      </c>
      <c r="BL154" s="32">
        <f t="shared" si="205"/>
        <v>20.9779784922002</v>
      </c>
      <c r="BM154" s="31">
        <f t="shared" si="206"/>
        <v>64.4258908974546</v>
      </c>
      <c r="BO154">
        <f t="shared" si="207"/>
        <v>0</v>
      </c>
      <c r="BP154">
        <f t="shared" si="208"/>
        <v>0</v>
      </c>
    </row>
    <row r="155" spans="14:68">
      <c r="N155" s="7">
        <v>37</v>
      </c>
      <c r="O155" s="18">
        <f t="shared" si="158"/>
        <v>234.422881531992</v>
      </c>
      <c r="P155" s="86" t="str">
        <f t="shared" si="159"/>
        <v>60</v>
      </c>
      <c r="Q155" s="4" t="str">
        <f t="shared" si="160"/>
        <v>1+1,92461860908045i</v>
      </c>
      <c r="R155" s="4">
        <f t="shared" si="171"/>
        <v>2.16890681921072</v>
      </c>
      <c r="S155" s="4">
        <f t="shared" si="172"/>
        <v>1.09160497008436</v>
      </c>
      <c r="T155" s="4" t="str">
        <f t="shared" si="161"/>
        <v>1+0,0230954233089655i</v>
      </c>
      <c r="U155" s="4">
        <f t="shared" si="173"/>
        <v>1.00026666373414</v>
      </c>
      <c r="V155" s="4">
        <f t="shared" si="174"/>
        <v>0.0230913182673437</v>
      </c>
      <c r="W155" t="str">
        <f t="shared" si="162"/>
        <v>1-0,0322201776073737i</v>
      </c>
      <c r="X155" s="4">
        <f t="shared" si="175"/>
        <v>1.00051893527562</v>
      </c>
      <c r="Y155" s="4">
        <f t="shared" si="176"/>
        <v>-0.0322090348637901</v>
      </c>
      <c r="Z155" t="str">
        <f t="shared" si="163"/>
        <v>0,999999551395205+0,00859705730211908i</v>
      </c>
      <c r="AA155" s="4">
        <f t="shared" si="177"/>
        <v>1.00003650542611</v>
      </c>
      <c r="AB155" s="4">
        <f t="shared" si="178"/>
        <v>0.00859684936680968</v>
      </c>
      <c r="AC155" s="67" t="str">
        <f t="shared" si="179"/>
        <v>12,3270718544284-24,7885265242556i</v>
      </c>
      <c r="AD155" s="68">
        <f t="shared" si="180"/>
        <v>28.8447121955128</v>
      </c>
      <c r="AE155" s="31">
        <f t="shared" si="181"/>
        <v>-63.559327546939</v>
      </c>
      <c r="AF155" s="32" t="str">
        <f t="shared" si="182"/>
        <v>326,048966736478</v>
      </c>
      <c r="AG155" s="32" t="str">
        <f t="shared" si="164"/>
        <v>1+1,23725482012315i</v>
      </c>
      <c r="AH155" s="32">
        <f t="shared" si="183"/>
        <v>1.59084866970997</v>
      </c>
      <c r="AI155" s="32">
        <f t="shared" si="184"/>
        <v>0.891050581701597</v>
      </c>
      <c r="AJ155" s="32" t="str">
        <f t="shared" si="165"/>
        <v>1+0,0230954233089655i</v>
      </c>
      <c r="AK155" s="32">
        <f t="shared" si="185"/>
        <v>1.00026666373414</v>
      </c>
      <c r="AL155" s="32">
        <f t="shared" si="186"/>
        <v>0.0230913182673437</v>
      </c>
      <c r="AM155" s="32" t="str">
        <f t="shared" si="166"/>
        <v>1-0,00381154883704154i</v>
      </c>
      <c r="AN155" s="32">
        <f t="shared" si="187"/>
        <v>1.00000726392589</v>
      </c>
      <c r="AO155" s="32">
        <f t="shared" si="188"/>
        <v>-0.00381153037926322</v>
      </c>
      <c r="AP155" s="30" t="str">
        <f t="shared" si="189"/>
        <v>131,91755963498-156,928149171016i</v>
      </c>
      <c r="AQ155" s="32">
        <f t="shared" si="190"/>
        <v>46.2354581788197</v>
      </c>
      <c r="AR155" s="31">
        <f t="shared" si="191"/>
        <v>-49.9487871882841</v>
      </c>
      <c r="AS155" t="str">
        <f t="shared" si="167"/>
        <v>-0,000100699300699301</v>
      </c>
      <c r="AT155" t="str">
        <f t="shared" si="168"/>
        <v>0,000330965664382943i</v>
      </c>
      <c r="AU155">
        <f t="shared" si="192"/>
        <v>0.000330965664382943</v>
      </c>
      <c r="AV155">
        <f t="shared" si="193"/>
        <v>1.5707963267949</v>
      </c>
      <c r="AW155" t="str">
        <f t="shared" si="169"/>
        <v>1+0,0169448349652359i</v>
      </c>
      <c r="AX155">
        <f t="shared" si="194"/>
        <v>1.00014355341221</v>
      </c>
      <c r="AY155">
        <f t="shared" si="195"/>
        <v>0.0169432134689226</v>
      </c>
      <c r="AZ155" t="str">
        <f t="shared" si="170"/>
        <v>1+0,81010732269968i</v>
      </c>
      <c r="BA155">
        <f t="shared" si="196"/>
        <v>1.28696304309473</v>
      </c>
      <c r="BB155">
        <f t="shared" si="197"/>
        <v>0.680873629994435</v>
      </c>
      <c r="BC155" s="30" t="str">
        <f t="shared" si="198"/>
        <v>-0,241257598303504+0,308347126446404i</v>
      </c>
      <c r="BD155" s="32">
        <f t="shared" si="199"/>
        <v>-8.14505500808818</v>
      </c>
      <c r="BE155" s="31">
        <f t="shared" si="200"/>
        <v>128.040410757275</v>
      </c>
      <c r="BF155" s="30" t="str">
        <f t="shared" si="201"/>
        <v>4,66947117288056+9,78143755853595i</v>
      </c>
      <c r="BG155" s="68">
        <f t="shared" si="202"/>
        <v>20.6996571874247</v>
      </c>
      <c r="BH155" s="31">
        <f t="shared" si="203"/>
        <v>64.4810832103356</v>
      </c>
      <c r="BI155" s="30" t="str">
        <f t="shared" si="156"/>
        <v>16,5622302438409+78,5365088164815i</v>
      </c>
      <c r="BJ155" s="68">
        <f t="shared" si="204"/>
        <v>38.0904031707315</v>
      </c>
      <c r="BK155" s="31">
        <f t="shared" si="157"/>
        <v>78.0916235689905</v>
      </c>
      <c r="BL155" s="32">
        <f t="shared" si="205"/>
        <v>20.6996571874247</v>
      </c>
      <c r="BM155" s="31">
        <f t="shared" si="206"/>
        <v>64.4810832103356</v>
      </c>
      <c r="BO155">
        <f t="shared" si="207"/>
        <v>0</v>
      </c>
      <c r="BP155">
        <f t="shared" si="208"/>
        <v>0</v>
      </c>
    </row>
    <row r="156" spans="14:68">
      <c r="N156" s="7">
        <v>38</v>
      </c>
      <c r="O156" s="18">
        <f t="shared" si="158"/>
        <v>239.883291901949</v>
      </c>
      <c r="P156" s="86" t="str">
        <f t="shared" si="159"/>
        <v>60</v>
      </c>
      <c r="Q156" s="4" t="str">
        <f t="shared" si="160"/>
        <v>1+1,96944873548517i</v>
      </c>
      <c r="R156" s="4">
        <f t="shared" si="171"/>
        <v>2.20878435382546</v>
      </c>
      <c r="S156" s="4">
        <f t="shared" si="172"/>
        <v>1.10096294960899</v>
      </c>
      <c r="T156" s="4" t="str">
        <f t="shared" si="161"/>
        <v>1+0,023633384825822i</v>
      </c>
      <c r="U156" s="4">
        <f t="shared" si="173"/>
        <v>1.00027922945462</v>
      </c>
      <c r="V156" s="4">
        <f t="shared" si="174"/>
        <v>0.0236289862607894</v>
      </c>
      <c r="W156" t="str">
        <f t="shared" si="162"/>
        <v>1-0,0329706819556669i</v>
      </c>
      <c r="X156" s="4">
        <f t="shared" si="175"/>
        <v>1.00054338530052</v>
      </c>
      <c r="Y156" s="4">
        <f t="shared" si="176"/>
        <v>-0.0329587426409865</v>
      </c>
      <c r="Z156" t="str">
        <f t="shared" si="163"/>
        <v>0,999999530253112+0,00879730849149457i</v>
      </c>
      <c r="AA156" s="4">
        <f t="shared" si="177"/>
        <v>1.00003822584096</v>
      </c>
      <c r="AB156" s="4">
        <f t="shared" si="178"/>
        <v>0.00879708568525626</v>
      </c>
      <c r="AC156" s="67" t="str">
        <f t="shared" si="179"/>
        <v>11,8665450692541-24,4589563398311i</v>
      </c>
      <c r="AD156" s="68">
        <f t="shared" si="180"/>
        <v>28.6867701637842</v>
      </c>
      <c r="AE156" s="31">
        <f t="shared" si="181"/>
        <v>-64.1191219591201</v>
      </c>
      <c r="AF156" s="32" t="str">
        <f t="shared" si="182"/>
        <v>326,048966736478</v>
      </c>
      <c r="AG156" s="32" t="str">
        <f t="shared" si="164"/>
        <v>1+1,26607418709761i</v>
      </c>
      <c r="AH156" s="32">
        <f t="shared" si="183"/>
        <v>1.61336413968914</v>
      </c>
      <c r="AI156" s="32">
        <f t="shared" si="184"/>
        <v>0.902279354509266</v>
      </c>
      <c r="AJ156" s="32" t="str">
        <f t="shared" si="165"/>
        <v>1+0,023633384825822i</v>
      </c>
      <c r="AK156" s="32">
        <f t="shared" si="185"/>
        <v>1.00027922945462</v>
      </c>
      <c r="AL156" s="32">
        <f t="shared" si="186"/>
        <v>0.0236289862607894</v>
      </c>
      <c r="AM156" s="32" t="str">
        <f t="shared" si="166"/>
        <v>1-0,00390033121468048i</v>
      </c>
      <c r="AN156" s="32">
        <f t="shared" si="187"/>
        <v>1.00000760626286</v>
      </c>
      <c r="AO156" s="32">
        <f t="shared" si="188"/>
        <v>-0.0039003114368228</v>
      </c>
      <c r="AP156" s="30" t="str">
        <f t="shared" si="189"/>
        <v>128,402642723694-156,133329767118i</v>
      </c>
      <c r="AQ156" s="32">
        <f t="shared" si="190"/>
        <v>46.1134996568699</v>
      </c>
      <c r="AR156" s="31">
        <f t="shared" si="191"/>
        <v>-50.56642915237</v>
      </c>
      <c r="AS156" t="str">
        <f t="shared" si="167"/>
        <v>-0,000100699300699301</v>
      </c>
      <c r="AT156" t="str">
        <f t="shared" si="168"/>
        <v>0,00033867484504861i</v>
      </c>
      <c r="AU156">
        <f t="shared" si="192"/>
        <v>0.00033867484504861</v>
      </c>
      <c r="AV156">
        <f t="shared" si="193"/>
        <v>1.5707963267949</v>
      </c>
      <c r="AW156" t="str">
        <f t="shared" si="169"/>
        <v>1+0,0173395308752798i</v>
      </c>
      <c r="AX156">
        <f t="shared" si="194"/>
        <v>1.00015031836768</v>
      </c>
      <c r="AY156">
        <f t="shared" si="195"/>
        <v>0.01733779342478</v>
      </c>
      <c r="AZ156" t="str">
        <f t="shared" si="170"/>
        <v>1+0,828977146313909i</v>
      </c>
      <c r="BA156">
        <f t="shared" si="196"/>
        <v>1.29892382729348</v>
      </c>
      <c r="BB156">
        <f t="shared" si="197"/>
        <v>0.692161897814753</v>
      </c>
      <c r="BC156" s="30" t="str">
        <f t="shared" si="198"/>
        <v>-0,241254334611317+0,301516511573011i</v>
      </c>
      <c r="BD156" s="32">
        <f t="shared" si="199"/>
        <v>-8.26476160324414</v>
      </c>
      <c r="BE156" s="31">
        <f t="shared" si="200"/>
        <v>128.664573095241</v>
      </c>
      <c r="BF156" s="30" t="str">
        <f t="shared" si="201"/>
        <v>4,51192375748435+9,47878851075862i</v>
      </c>
      <c r="BG156" s="68">
        <f t="shared" si="202"/>
        <v>20.42200856054</v>
      </c>
      <c r="BH156" s="31">
        <f t="shared" si="203"/>
        <v>64.545451136121</v>
      </c>
      <c r="BI156" s="30" t="str">
        <f t="shared" si="156"/>
        <v>16,0990827990205+76,3833594944193i</v>
      </c>
      <c r="BJ156" s="68">
        <f t="shared" si="204"/>
        <v>37.8487380536258</v>
      </c>
      <c r="BK156" s="31">
        <f t="shared" si="157"/>
        <v>78.0981439428712</v>
      </c>
      <c r="BL156" s="32">
        <f t="shared" si="205"/>
        <v>20.42200856054</v>
      </c>
      <c r="BM156" s="31">
        <f t="shared" si="206"/>
        <v>64.545451136121</v>
      </c>
      <c r="BO156">
        <f t="shared" si="207"/>
        <v>0</v>
      </c>
      <c r="BP156">
        <f t="shared" si="208"/>
        <v>0</v>
      </c>
    </row>
    <row r="157" spans="14:68">
      <c r="N157" s="7">
        <v>39</v>
      </c>
      <c r="O157" s="18">
        <f t="shared" si="158"/>
        <v>245.470891568503</v>
      </c>
      <c r="P157" s="86" t="str">
        <f t="shared" si="159"/>
        <v>60</v>
      </c>
      <c r="Q157" s="4" t="str">
        <f t="shared" si="160"/>
        <v>1+2,01532308967816i</v>
      </c>
      <c r="R157" s="4">
        <f t="shared" si="171"/>
        <v>2.24978380201075</v>
      </c>
      <c r="S157" s="4">
        <f t="shared" si="172"/>
        <v>1.11019465697246</v>
      </c>
      <c r="T157" s="4" t="str">
        <f t="shared" si="161"/>
        <v>1+0,0241838770761379i</v>
      </c>
      <c r="U157" s="4">
        <f t="shared" si="173"/>
        <v>1.00029238721008</v>
      </c>
      <c r="V157" s="4">
        <f t="shared" si="174"/>
        <v>0.0241791640031929</v>
      </c>
      <c r="W157" t="str">
        <f t="shared" si="162"/>
        <v>1-0,0337386677959514i</v>
      </c>
      <c r="X157" s="4">
        <f t="shared" si="175"/>
        <v>1.00056898697923</v>
      </c>
      <c r="Y157" s="4">
        <f t="shared" si="176"/>
        <v>-0.0337258749826635</v>
      </c>
      <c r="Z157" t="str">
        <f t="shared" si="163"/>
        <v>0,999999508114624+0,00900222413027835i</v>
      </c>
      <c r="AA157" s="4">
        <f t="shared" si="177"/>
        <v>1.0000400273333</v>
      </c>
      <c r="AB157" s="4">
        <f t="shared" si="178"/>
        <v>0.00900198538960875</v>
      </c>
      <c r="AC157" s="67" t="str">
        <f t="shared" si="179"/>
        <v>11,4183617889685-24,1254603162312i</v>
      </c>
      <c r="AD157" s="68">
        <f t="shared" si="180"/>
        <v>28.5273416536862</v>
      </c>
      <c r="AE157" s="31">
        <f t="shared" si="181"/>
        <v>-64.6722302999141</v>
      </c>
      <c r="AF157" s="32" t="str">
        <f t="shared" si="182"/>
        <v>326,048966736478</v>
      </c>
      <c r="AG157" s="32" t="str">
        <f t="shared" si="164"/>
        <v>1+1,29556484336453i</v>
      </c>
      <c r="AH157" s="32">
        <f t="shared" si="183"/>
        <v>1.63660876918161</v>
      </c>
      <c r="AI157" s="32">
        <f t="shared" si="184"/>
        <v>0.913448403432598</v>
      </c>
      <c r="AJ157" s="32" t="str">
        <f t="shared" si="165"/>
        <v>1+0,0241838770761379i</v>
      </c>
      <c r="AK157" s="32">
        <f t="shared" si="185"/>
        <v>1.00029238721008</v>
      </c>
      <c r="AL157" s="32">
        <f t="shared" si="186"/>
        <v>0.0241791640031929</v>
      </c>
      <c r="AM157" s="32" t="str">
        <f t="shared" si="166"/>
        <v>1-0,00399118159955641i</v>
      </c>
      <c r="AN157" s="32">
        <f t="shared" si="187"/>
        <v>1.00000796473356</v>
      </c>
      <c r="AO157" s="32">
        <f t="shared" si="188"/>
        <v>-0.00399116040720921</v>
      </c>
      <c r="AP157" s="30" t="str">
        <f t="shared" si="189"/>
        <v>124,925015285213-155,264650364535i</v>
      </c>
      <c r="AQ157" s="32">
        <f t="shared" si="190"/>
        <v>45.9893675401457</v>
      </c>
      <c r="AR157" s="31">
        <f t="shared" si="191"/>
        <v>-51.1800509168065</v>
      </c>
      <c r="AS157" t="str">
        <f t="shared" si="167"/>
        <v>-0,000100699300699301</v>
      </c>
      <c r="AT157" t="str">
        <f t="shared" si="168"/>
        <v>0,000346563595600013i</v>
      </c>
      <c r="AU157">
        <f t="shared" si="192"/>
        <v>0.000346563595600013</v>
      </c>
      <c r="AV157">
        <f t="shared" si="193"/>
        <v>1.5707963267949</v>
      </c>
      <c r="AW157" t="str">
        <f t="shared" si="169"/>
        <v>1+0,0177434204341096i</v>
      </c>
      <c r="AX157">
        <f t="shared" si="194"/>
        <v>1.00015740209664</v>
      </c>
      <c r="AY157">
        <f t="shared" si="195"/>
        <v>0.0177415587381809</v>
      </c>
      <c r="AZ157" t="str">
        <f t="shared" si="170"/>
        <v>1+0,848286504583919i</v>
      </c>
      <c r="BA157">
        <f t="shared" si="196"/>
        <v>1.31133138216822</v>
      </c>
      <c r="BB157">
        <f t="shared" si="197"/>
        <v>0.703498450348004</v>
      </c>
      <c r="BC157" s="30" t="str">
        <f t="shared" si="198"/>
        <v>-0,241250917200695+0,294845759411269i</v>
      </c>
      <c r="BD157" s="32">
        <f t="shared" si="199"/>
        <v>-8.38224769927967</v>
      </c>
      <c r="BE157" s="31">
        <f t="shared" si="200"/>
        <v>129.290975661253</v>
      </c>
      <c r="BF157" s="30" t="str">
        <f t="shared" si="201"/>
        <v>4,3585994135676+9,18694498208078i</v>
      </c>
      <c r="BG157" s="68">
        <f t="shared" si="202"/>
        <v>20.1450939544066</v>
      </c>
      <c r="BH157" s="31">
        <f t="shared" si="203"/>
        <v>64.6187453613391</v>
      </c>
      <c r="BI157" s="30" t="str">
        <f t="shared" si="156"/>
        <v>15,640849227588+74,2913503105223i</v>
      </c>
      <c r="BJ157" s="68">
        <f t="shared" si="204"/>
        <v>37.6071198408661</v>
      </c>
      <c r="BK157" s="31">
        <f t="shared" si="157"/>
        <v>78.1109247444467</v>
      </c>
      <c r="BL157" s="32">
        <f t="shared" si="205"/>
        <v>20.1450939544066</v>
      </c>
      <c r="BM157" s="31">
        <f t="shared" si="206"/>
        <v>64.6187453613391</v>
      </c>
      <c r="BO157">
        <f t="shared" si="207"/>
        <v>0</v>
      </c>
      <c r="BP157">
        <f t="shared" si="208"/>
        <v>0</v>
      </c>
    </row>
    <row r="158" spans="14:68">
      <c r="N158" s="7">
        <v>40</v>
      </c>
      <c r="O158" s="18">
        <f t="shared" si="158"/>
        <v>251.188643150958</v>
      </c>
      <c r="P158" s="86" t="str">
        <f t="shared" si="159"/>
        <v>60</v>
      </c>
      <c r="Q158" s="4" t="str">
        <f t="shared" si="160"/>
        <v>1+2,06226599484927i</v>
      </c>
      <c r="R158" s="4">
        <f t="shared" si="171"/>
        <v>2.29192954374947</v>
      </c>
      <c r="S158" s="4">
        <f t="shared" si="172"/>
        <v>1.11929869188019</v>
      </c>
      <c r="T158" s="4" t="str">
        <f t="shared" si="161"/>
        <v>1+0,0247471919381912i</v>
      </c>
      <c r="U158" s="4">
        <f t="shared" si="173"/>
        <v>1.00030616488594</v>
      </c>
      <c r="V158" s="4">
        <f t="shared" si="174"/>
        <v>0.0247421418730217</v>
      </c>
      <c r="W158" t="str">
        <f t="shared" si="162"/>
        <v>1-0,0345245423244855i</v>
      </c>
      <c r="X158" s="4">
        <f t="shared" si="175"/>
        <v>1.0005957945258</v>
      </c>
      <c r="Y158" s="4">
        <f t="shared" si="176"/>
        <v>-0.0345108350188686</v>
      </c>
      <c r="Z158" t="str">
        <f t="shared" si="163"/>
        <v>0,99999948493278+0,00921191286745458i</v>
      </c>
      <c r="AA158" s="4">
        <f t="shared" si="177"/>
        <v>1.00004191372387</v>
      </c>
      <c r="AB158" s="4">
        <f t="shared" si="178"/>
        <v>0.0092116570527972</v>
      </c>
      <c r="AC158" s="67" t="str">
        <f t="shared" si="179"/>
        <v>10,9824884099088-23,7885445682777i</v>
      </c>
      <c r="AD158" s="68">
        <f t="shared" si="180"/>
        <v>28.3664680723022</v>
      </c>
      <c r="AE158" s="31">
        <f t="shared" si="181"/>
        <v>-65.2185850193116</v>
      </c>
      <c r="AF158" s="32" t="str">
        <f t="shared" si="182"/>
        <v>326,048966736478</v>
      </c>
      <c r="AG158" s="32" t="str">
        <f t="shared" si="164"/>
        <v>1+1,32574242526024i</v>
      </c>
      <c r="AH158" s="32">
        <f t="shared" si="183"/>
        <v>1.66060018611793</v>
      </c>
      <c r="AI158" s="32">
        <f t="shared" si="184"/>
        <v>0.924552504498278</v>
      </c>
      <c r="AJ158" s="32" t="str">
        <f t="shared" si="165"/>
        <v>1+0,0247471919381912i</v>
      </c>
      <c r="AK158" s="32">
        <f t="shared" si="185"/>
        <v>1.00030616488594</v>
      </c>
      <c r="AL158" s="32">
        <f t="shared" si="186"/>
        <v>0.0247421418730217</v>
      </c>
      <c r="AM158" s="32" t="str">
        <f t="shared" si="166"/>
        <v>1-0,00408414816174598i</v>
      </c>
      <c r="AN158" s="32">
        <f t="shared" si="187"/>
        <v>1.00000834009833</v>
      </c>
      <c r="AO158" s="32">
        <f t="shared" si="188"/>
        <v>-0.00408412545374706</v>
      </c>
      <c r="AP158" s="30" t="str">
        <f t="shared" si="189"/>
        <v>121,487713302899-154,324251600565i</v>
      </c>
      <c r="AQ158" s="32">
        <f t="shared" si="190"/>
        <v>45.8630862679693</v>
      </c>
      <c r="AR158" s="31">
        <f t="shared" si="191"/>
        <v>-51.7893392920649</v>
      </c>
      <c r="AS158" t="str">
        <f t="shared" si="167"/>
        <v>-0,000100699300699301</v>
      </c>
      <c r="AT158" t="str">
        <f t="shared" si="168"/>
        <v>0,000354636098757114i</v>
      </c>
      <c r="AU158">
        <f t="shared" si="192"/>
        <v>0.000354636098757114</v>
      </c>
      <c r="AV158">
        <f t="shared" si="193"/>
        <v>1.5707963267949</v>
      </c>
      <c r="AW158" t="str">
        <f t="shared" si="169"/>
        <v>1+0,0181567177893155i</v>
      </c>
      <c r="AX158">
        <f t="shared" si="194"/>
        <v>1.00016481961769</v>
      </c>
      <c r="AY158">
        <f t="shared" si="195"/>
        <v>0.0181547229639416</v>
      </c>
      <c r="AZ158" t="str">
        <f t="shared" si="170"/>
        <v>1+0,868045635587063i</v>
      </c>
      <c r="BA158">
        <f t="shared" si="196"/>
        <v>1.32419908830272</v>
      </c>
      <c r="BB158">
        <f t="shared" si="197"/>
        <v>0.71487764362323</v>
      </c>
      <c r="BC158" s="30" t="str">
        <f t="shared" si="198"/>
        <v>-0,241247338836241+0,288331332658857i</v>
      </c>
      <c r="BD158" s="32">
        <f t="shared" si="199"/>
        <v>-8.49749551922171</v>
      </c>
      <c r="BE158" s="31">
        <f t="shared" si="200"/>
        <v>129.919282843805</v>
      </c>
      <c r="BF158" s="30" t="str">
        <f t="shared" si="201"/>
        <v>4,20948665469577+8,90551859102377i</v>
      </c>
      <c r="BG158" s="68">
        <f t="shared" si="202"/>
        <v>19.8689725530805</v>
      </c>
      <c r="BH158" s="31">
        <f t="shared" si="203"/>
        <v>64.7006978244937</v>
      </c>
      <c r="BI158" s="30" t="str">
        <f t="shared" si="156"/>
        <v>15,1879295899471+72,2590292948328i</v>
      </c>
      <c r="BJ158" s="68">
        <f t="shared" si="204"/>
        <v>37.3655907487476</v>
      </c>
      <c r="BK158" s="31">
        <f t="shared" si="157"/>
        <v>78.1299435517405</v>
      </c>
      <c r="BL158" s="32">
        <f t="shared" si="205"/>
        <v>19.8689725530805</v>
      </c>
      <c r="BM158" s="31">
        <f t="shared" si="206"/>
        <v>64.7006978244937</v>
      </c>
      <c r="BO158">
        <f t="shared" si="207"/>
        <v>0</v>
      </c>
      <c r="BP158">
        <f t="shared" si="208"/>
        <v>0</v>
      </c>
    </row>
    <row r="159" spans="14:68">
      <c r="N159" s="7">
        <v>41</v>
      </c>
      <c r="O159" s="18">
        <f t="shared" si="158"/>
        <v>257.039578276887</v>
      </c>
      <c r="P159" s="86" t="str">
        <f t="shared" si="159"/>
        <v>60</v>
      </c>
      <c r="Q159" s="4" t="str">
        <f t="shared" si="160"/>
        <v>1+2,11030234074815i</v>
      </c>
      <c r="R159" s="4">
        <f t="shared" si="171"/>
        <v>2.3352464472443</v>
      </c>
      <c r="S159" s="4">
        <f t="shared" si="172"/>
        <v>1.12827384385609</v>
      </c>
      <c r="T159" s="4" t="str">
        <f t="shared" si="161"/>
        <v>1+0,0253236280889778i</v>
      </c>
      <c r="U159" s="4">
        <f t="shared" si="173"/>
        <v>1.00032059168028</v>
      </c>
      <c r="V159" s="4">
        <f t="shared" si="174"/>
        <v>0.0253182169403162</v>
      </c>
      <c r="W159" t="str">
        <f t="shared" si="162"/>
        <v>1-0,0353287222223462i</v>
      </c>
      <c r="X159" s="4">
        <f t="shared" si="175"/>
        <v>1.00062386470335</v>
      </c>
      <c r="Y159" s="4">
        <f t="shared" si="176"/>
        <v>-0.0353140350742901</v>
      </c>
      <c r="Z159" t="str">
        <f t="shared" si="163"/>
        <v>0,99999946065841+0,00942648588276715i</v>
      </c>
      <c r="AA159" s="4">
        <f t="shared" si="177"/>
        <v>1.00004388901348</v>
      </c>
      <c r="AB159" s="4">
        <f t="shared" si="178"/>
        <v>0.00942621177307289</v>
      </c>
      <c r="AC159" s="67" t="str">
        <f t="shared" si="179"/>
        <v>10,558867769113-23,4487014735548i</v>
      </c>
      <c r="AD159" s="68">
        <f t="shared" si="180"/>
        <v>28.2041907082976</v>
      </c>
      <c r="AE159" s="31">
        <f t="shared" si="181"/>
        <v>-65.7581297312068</v>
      </c>
      <c r="AF159" s="32" t="str">
        <f t="shared" si="182"/>
        <v>326,048966736478</v>
      </c>
      <c r="AG159" s="32" t="str">
        <f t="shared" si="164"/>
        <v>1+1,3566229333381i</v>
      </c>
      <c r="AH159" s="32">
        <f t="shared" si="183"/>
        <v>1.68535627784124</v>
      </c>
      <c r="AI159" s="32">
        <f t="shared" si="184"/>
        <v>0.935586592529735</v>
      </c>
      <c r="AJ159" s="32" t="str">
        <f t="shared" si="165"/>
        <v>1+0,0253236280889778i</v>
      </c>
      <c r="AK159" s="32">
        <f t="shared" si="185"/>
        <v>1.00032059168028</v>
      </c>
      <c r="AL159" s="32">
        <f t="shared" si="186"/>
        <v>0.0253182169403162</v>
      </c>
      <c r="AM159" s="32" t="str">
        <f t="shared" si="166"/>
        <v>1-0,00417928019335098i</v>
      </c>
      <c r="AN159" s="32">
        <f t="shared" si="187"/>
        <v>1.00000873315333</v>
      </c>
      <c r="AO159" s="32">
        <f t="shared" si="188"/>
        <v>-0.00417925586130323</v>
      </c>
      <c r="AP159" s="30" t="str">
        <f t="shared" si="189"/>
        <v>118,093618333539-153,31441812847i</v>
      </c>
      <c r="AQ159" s="32">
        <f t="shared" si="190"/>
        <v>45.7346821355592</v>
      </c>
      <c r="AR159" s="31">
        <f t="shared" si="191"/>
        <v>-52.3939898678609</v>
      </c>
      <c r="AS159" t="str">
        <f t="shared" si="167"/>
        <v>-0,000100699300699301</v>
      </c>
      <c r="AT159" t="str">
        <f t="shared" si="168"/>
        <v>0,000362896634667941i</v>
      </c>
      <c r="AU159">
        <f t="shared" si="192"/>
        <v>0.000362896634667941</v>
      </c>
      <c r="AV159">
        <f t="shared" si="193"/>
        <v>1.5707963267949</v>
      </c>
      <c r="AW159" t="str">
        <f t="shared" si="169"/>
        <v>1+0,0185796420766258i</v>
      </c>
      <c r="AX159">
        <f t="shared" si="194"/>
        <v>1.00017258665677</v>
      </c>
      <c r="AY159">
        <f t="shared" si="195"/>
        <v>0.0185775046026472</v>
      </c>
      <c r="AZ159" t="str">
        <f t="shared" si="170"/>
        <v>1+0,888265015876132i</v>
      </c>
      <c r="BA159">
        <f t="shared" si="196"/>
        <v>1.33754055580735</v>
      </c>
      <c r="BB159">
        <f t="shared" si="197"/>
        <v>0.726293724327006</v>
      </c>
      <c r="BC159" s="30" t="str">
        <f t="shared" si="198"/>
        <v>-0,241243591942435+0,281969776872015i</v>
      </c>
      <c r="BD159" s="32">
        <f t="shared" si="199"/>
        <v>-8.61048947797264</v>
      </c>
      <c r="BE159" s="31">
        <f t="shared" si="200"/>
        <v>130.549152483159</v>
      </c>
      <c r="BF159" s="30" t="str">
        <f t="shared" si="201"/>
        <v>4,06456593497071+8,63413055874413i</v>
      </c>
      <c r="BG159" s="68">
        <f t="shared" si="202"/>
        <v>19.593701230325</v>
      </c>
      <c r="BH159" s="31">
        <f t="shared" si="203"/>
        <v>64.7910227519521</v>
      </c>
      <c r="BI159" s="30" t="str">
        <f t="shared" si="156"/>
        <v>14,7407035986856+70,2849521373934i</v>
      </c>
      <c r="BJ159" s="68">
        <f t="shared" si="204"/>
        <v>37.1241926575866</v>
      </c>
      <c r="BK159" s="31">
        <f t="shared" si="157"/>
        <v>78.155162615298</v>
      </c>
      <c r="BL159" s="32">
        <f t="shared" si="205"/>
        <v>19.593701230325</v>
      </c>
      <c r="BM159" s="31">
        <f t="shared" si="206"/>
        <v>64.7910227519521</v>
      </c>
      <c r="BO159">
        <f t="shared" si="207"/>
        <v>0</v>
      </c>
      <c r="BP159">
        <f t="shared" si="208"/>
        <v>0</v>
      </c>
    </row>
    <row r="160" spans="14:68">
      <c r="N160" s="7">
        <v>42</v>
      </c>
      <c r="O160" s="18">
        <f t="shared" si="158"/>
        <v>263.026799189538</v>
      </c>
      <c r="P160" s="86" t="str">
        <f t="shared" si="159"/>
        <v>60</v>
      </c>
      <c r="Q160" s="4" t="str">
        <f t="shared" si="160"/>
        <v>1+2,15945759688125i</v>
      </c>
      <c r="R160" s="4">
        <f t="shared" si="171"/>
        <v>2.37975988551958</v>
      </c>
      <c r="S160" s="4">
        <f t="shared" si="172"/>
        <v>1.13711908682366</v>
      </c>
      <c r="T160" s="4" t="str">
        <f t="shared" si="161"/>
        <v>1+0,025913491162575i</v>
      </c>
      <c r="U160" s="4">
        <f t="shared" si="173"/>
        <v>1.00033569816549</v>
      </c>
      <c r="V160" s="4">
        <f t="shared" si="174"/>
        <v>0.0259076931174046</v>
      </c>
      <c r="W160" t="str">
        <f t="shared" si="162"/>
        <v>1-0,0361516338763602i</v>
      </c>
      <c r="X160" s="4">
        <f t="shared" si="175"/>
        <v>1.00065325694365</v>
      </c>
      <c r="Y160" s="4">
        <f t="shared" si="176"/>
        <v>-0.0361358968685113</v>
      </c>
      <c r="Z160" t="str">
        <f t="shared" si="163"/>
        <v>0,999999435240024+0,00964605694566907i</v>
      </c>
      <c r="AA160" s="4">
        <f t="shared" si="177"/>
        <v>1.00004595739144</v>
      </c>
      <c r="AB160" s="4">
        <f t="shared" si="178"/>
        <v>0.00964576323256889</v>
      </c>
      <c r="AC160" s="67" t="str">
        <f t="shared" si="179"/>
        <v>10,1474206259959-23,1064086851193i</v>
      </c>
      <c r="AD160" s="68">
        <f t="shared" si="180"/>
        <v>28.0405506580255</v>
      </c>
      <c r="AE160" s="31">
        <f t="shared" si="181"/>
        <v>-66.2908189091127</v>
      </c>
      <c r="AF160" s="32" t="str">
        <f t="shared" si="182"/>
        <v>326,048966736478</v>
      </c>
      <c r="AG160" s="32" t="str">
        <f t="shared" si="164"/>
        <v>1+1,38822274085223i</v>
      </c>
      <c r="AH160" s="32">
        <f t="shared" si="183"/>
        <v>1.71089519790643</v>
      </c>
      <c r="AI160" s="32">
        <f t="shared" si="184"/>
        <v>0.946545771017404</v>
      </c>
      <c r="AJ160" s="32" t="str">
        <f t="shared" si="165"/>
        <v>1+0,025913491162575i</v>
      </c>
      <c r="AK160" s="32">
        <f t="shared" si="185"/>
        <v>1.00033569816549</v>
      </c>
      <c r="AL160" s="32">
        <f t="shared" si="186"/>
        <v>0.0259076931174046</v>
      </c>
      <c r="AM160" s="32" t="str">
        <f t="shared" si="166"/>
        <v>1-0,0042766281346338i</v>
      </c>
      <c r="AN160" s="32">
        <f t="shared" si="187"/>
        <v>1.00000914473229</v>
      </c>
      <c r="AO160" s="32">
        <f t="shared" si="188"/>
        <v>-0.00427660206238777</v>
      </c>
      <c r="AP160" s="30" t="str">
        <f t="shared" si="189"/>
        <v>114,745449573729-152,237565673884i</v>
      </c>
      <c r="AQ160" s="32">
        <f t="shared" si="190"/>
        <v>45.6041831958115</v>
      </c>
      <c r="AR160" s="31">
        <f t="shared" si="191"/>
        <v>-52.9937075715379</v>
      </c>
      <c r="AS160" t="str">
        <f t="shared" si="167"/>
        <v>-0,000100699300699301</v>
      </c>
      <c r="AT160" t="str">
        <f t="shared" si="168"/>
        <v>0,000371349583177972i</v>
      </c>
      <c r="AU160">
        <f t="shared" si="192"/>
        <v>0.000371349583177972</v>
      </c>
      <c r="AV160">
        <f t="shared" si="193"/>
        <v>1.5707963267949</v>
      </c>
      <c r="AW160" t="str">
        <f t="shared" si="169"/>
        <v>1+0,0190124175360958i</v>
      </c>
      <c r="AX160">
        <f t="shared" si="194"/>
        <v>1.00018071968048</v>
      </c>
      <c r="AY160">
        <f t="shared" si="195"/>
        <v>0.0190101272138135</v>
      </c>
      <c r="AZ160" t="str">
        <f t="shared" si="170"/>
        <v>1+0,908955366034198i</v>
      </c>
      <c r="BA160">
        <f t="shared" si="196"/>
        <v>1.35136962280583</v>
      </c>
      <c r="BB160">
        <f t="shared" si="197"/>
        <v>0.737740843756762</v>
      </c>
      <c r="BC160" s="30" t="str">
        <f t="shared" si="198"/>
        <v>-0,241239668587711+0,275757718632018i</v>
      </c>
      <c r="BD160" s="32">
        <f t="shared" si="199"/>
        <v>-8.72121624689343</v>
      </c>
      <c r="BE160" s="31">
        <f t="shared" si="200"/>
        <v>131.180236664324</v>
      </c>
      <c r="BF160" s="30" t="str">
        <f t="shared" si="201"/>
        <v>3,92381015595219+8,3724119352745i</v>
      </c>
      <c r="BG160" s="68">
        <f t="shared" si="202"/>
        <v>19.3193344111321</v>
      </c>
      <c r="BH160" s="31">
        <f t="shared" si="203"/>
        <v>64.8894177552118</v>
      </c>
      <c r="BI160" s="30" t="str">
        <f t="shared" si="156"/>
        <v>14,299529573208+68,3676832876244i</v>
      </c>
      <c r="BJ160" s="68">
        <f t="shared" si="204"/>
        <v>36.8829669489181</v>
      </c>
      <c r="BK160" s="31">
        <f t="shared" si="157"/>
        <v>78.1865290927865</v>
      </c>
      <c r="BL160" s="32">
        <f t="shared" si="205"/>
        <v>19.3193344111321</v>
      </c>
      <c r="BM160" s="31">
        <f t="shared" si="206"/>
        <v>64.8894177552118</v>
      </c>
      <c r="BO160">
        <f t="shared" si="207"/>
        <v>0</v>
      </c>
      <c r="BP160">
        <f t="shared" si="208"/>
        <v>0</v>
      </c>
    </row>
    <row r="161" spans="14:68">
      <c r="N161" s="7">
        <v>43</v>
      </c>
      <c r="O161" s="18">
        <f t="shared" si="158"/>
        <v>269.153480392692</v>
      </c>
      <c r="P161" s="86" t="str">
        <f t="shared" si="159"/>
        <v>60</v>
      </c>
      <c r="Q161" s="4" t="str">
        <f t="shared" si="160"/>
        <v>1+2,20975782601602i</v>
      </c>
      <c r="R161" s="4">
        <f t="shared" si="171"/>
        <v>2.42549575337477</v>
      </c>
      <c r="S161" s="4">
        <f t="shared" si="172"/>
        <v>1.14583357333818</v>
      </c>
      <c r="T161" s="4" t="str">
        <f t="shared" si="161"/>
        <v>1+0,0265170939121923i</v>
      </c>
      <c r="U161" s="4">
        <f t="shared" si="173"/>
        <v>1.0003515163529</v>
      </c>
      <c r="V161" s="4">
        <f t="shared" si="174"/>
        <v>0.0265108813127605</v>
      </c>
      <c r="W161" t="str">
        <f t="shared" si="162"/>
        <v>1-0,036993713605179i</v>
      </c>
      <c r="X161" s="4">
        <f t="shared" si="175"/>
        <v>1.00068403347226</v>
      </c>
      <c r="Y161" s="4">
        <f t="shared" si="176"/>
        <v>-0.0369768517199406</v>
      </c>
      <c r="Z161" t="str">
        <f t="shared" si="163"/>
        <v>0,999999408623706+0,00987074247564427i</v>
      </c>
      <c r="AA161" s="4">
        <f t="shared" si="177"/>
        <v>1.00004812324447</v>
      </c>
      <c r="AB161" s="4">
        <f t="shared" si="178"/>
        <v>0.00987042775720513</v>
      </c>
      <c r="AC161" s="67" t="str">
        <f t="shared" si="179"/>
        <v>9,74804716103513-22,7621282833598i</v>
      </c>
      <c r="AD161" s="68">
        <f t="shared" si="180"/>
        <v>27.8755887566269</v>
      </c>
      <c r="AE161" s="31">
        <f t="shared" si="181"/>
        <v>-66.8166175619885</v>
      </c>
      <c r="AF161" s="32" t="str">
        <f t="shared" si="182"/>
        <v>326,048966736478</v>
      </c>
      <c r="AG161" s="32" t="str">
        <f t="shared" si="164"/>
        <v>1+1,42055860243887i</v>
      </c>
      <c r="AH161" s="32">
        <f t="shared" si="183"/>
        <v>1.73723537350673</v>
      </c>
      <c r="AI161" s="32">
        <f t="shared" si="184"/>
        <v>0.957425321044539</v>
      </c>
      <c r="AJ161" s="32" t="str">
        <f t="shared" si="165"/>
        <v>1+0,0265170939121923i</v>
      </c>
      <c r="AK161" s="32">
        <f t="shared" si="185"/>
        <v>1.0003515163529</v>
      </c>
      <c r="AL161" s="32">
        <f t="shared" si="186"/>
        <v>0.0265108813127605</v>
      </c>
      <c r="AM161" s="32" t="str">
        <f t="shared" si="166"/>
        <v>1-0,00437624360076149i</v>
      </c>
      <c r="AN161" s="32">
        <f t="shared" si="187"/>
        <v>1.00000957570818</v>
      </c>
      <c r="AO161" s="32">
        <f t="shared" si="188"/>
        <v>-0.00437621566386099</v>
      </c>
      <c r="AP161" s="30" t="str">
        <f t="shared" si="189"/>
        <v>111,445757159523-151,096227671564i</v>
      </c>
      <c r="AQ161" s="32">
        <f t="shared" si="190"/>
        <v>45.4716191565458</v>
      </c>
      <c r="AR161" s="31">
        <f t="shared" si="191"/>
        <v>-53.5882071721947</v>
      </c>
      <c r="AS161" t="str">
        <f t="shared" si="167"/>
        <v>-0,000100699300699301</v>
      </c>
      <c r="AT161" t="str">
        <f t="shared" si="168"/>
        <v>0,000379999426152399i</v>
      </c>
      <c r="AU161">
        <f t="shared" si="192"/>
        <v>0.000379999426152399</v>
      </c>
      <c r="AV161">
        <f t="shared" si="193"/>
        <v>1.5707963267949</v>
      </c>
      <c r="AW161" t="str">
        <f t="shared" si="169"/>
        <v>1+0,0194552736310026i</v>
      </c>
      <c r="AX161">
        <f t="shared" si="194"/>
        <v>1.00018923593091</v>
      </c>
      <c r="AY161">
        <f t="shared" si="195"/>
        <v>0.0194528195315387</v>
      </c>
      <c r="AZ161" t="str">
        <f t="shared" si="170"/>
        <v>1+0,930127656358785i</v>
      </c>
      <c r="BA161">
        <f t="shared" si="196"/>
        <v>1.36570035407606</v>
      </c>
      <c r="BB161">
        <f t="shared" si="197"/>
        <v>0.749213072368599</v>
      </c>
      <c r="BC161" s="30" t="str">
        <f t="shared" si="198"/>
        <v>-0,241235560467746+0,269691863754451i</v>
      </c>
      <c r="BD161" s="32">
        <f t="shared" si="199"/>
        <v>-8.82966480974157</v>
      </c>
      <c r="BE161" s="31">
        <f t="shared" si="200"/>
        <v>131.812182543964</v>
      </c>
      <c r="BF161" s="30" t="str">
        <f t="shared" si="201"/>
        <v>3,78718517939888+8,12000378070088i</v>
      </c>
      <c r="BG161" s="68">
        <f t="shared" si="202"/>
        <v>19.0459239468854</v>
      </c>
      <c r="BH161" s="31">
        <f t="shared" si="203"/>
        <v>64.995564981975</v>
      </c>
      <c r="BI161" s="30" t="str">
        <f t="shared" si="156"/>
        <v>13,8647435568811+66,5057971227896i</v>
      </c>
      <c r="BJ161" s="68">
        <f t="shared" si="204"/>
        <v>36.6419543468043</v>
      </c>
      <c r="BK161" s="31">
        <f t="shared" si="157"/>
        <v>78.2239753717688</v>
      </c>
      <c r="BL161" s="32">
        <f t="shared" si="205"/>
        <v>19.0459239468854</v>
      </c>
      <c r="BM161" s="31">
        <f t="shared" si="206"/>
        <v>64.995564981975</v>
      </c>
      <c r="BO161">
        <f t="shared" si="207"/>
        <v>0</v>
      </c>
      <c r="BP161">
        <f t="shared" si="208"/>
        <v>0</v>
      </c>
    </row>
    <row r="162" spans="14:68">
      <c r="N162" s="7">
        <v>44</v>
      </c>
      <c r="O162" s="18">
        <f t="shared" si="158"/>
        <v>275.422870333817</v>
      </c>
      <c r="P162" s="86" t="str">
        <f t="shared" si="159"/>
        <v>60</v>
      </c>
      <c r="Q162" s="4" t="str">
        <f t="shared" si="160"/>
        <v>1+2,26122969799975i</v>
      </c>
      <c r="R162" s="4">
        <f t="shared" si="171"/>
        <v>2.4724804846785</v>
      </c>
      <c r="S162" s="4">
        <f t="shared" si="172"/>
        <v>1.15441662852201</v>
      </c>
      <c r="T162" s="4" t="str">
        <f t="shared" si="161"/>
        <v>1+0,0271347563759971i</v>
      </c>
      <c r="U162" s="4">
        <f t="shared" si="173"/>
        <v>1.00036807976044</v>
      </c>
      <c r="V162" s="4">
        <f t="shared" si="174"/>
        <v>0.0271280995880512</v>
      </c>
      <c r="W162" t="str">
        <f t="shared" si="162"/>
        <v>1-0,0378554078906209i</v>
      </c>
      <c r="X162" s="4">
        <f t="shared" si="175"/>
        <v>1.00071625943949</v>
      </c>
      <c r="Y162" s="4">
        <f t="shared" si="176"/>
        <v>-0.0378373407534346</v>
      </c>
      <c r="Z162" t="str">
        <f t="shared" si="163"/>
        <v>0,999999380753+0,0101006616039348i</v>
      </c>
      <c r="AA162" s="4">
        <f t="shared" si="177"/>
        <v>1.00005039116598</v>
      </c>
      <c r="AB162" s="4">
        <f t="shared" si="178"/>
        <v>0.0101003243779692</v>
      </c>
      <c r="AC162" s="67" t="str">
        <f t="shared" si="179"/>
        <v>9,36062847951519-22,4163060625258i</v>
      </c>
      <c r="AD162" s="68">
        <f t="shared" si="180"/>
        <v>27.7093455141661</v>
      </c>
      <c r="AE162" s="31">
        <f t="shared" si="181"/>
        <v>-67.3355008931677</v>
      </c>
      <c r="AF162" s="32" t="str">
        <f t="shared" si="182"/>
        <v>326,048966736478</v>
      </c>
      <c r="AG162" s="32" t="str">
        <f t="shared" si="164"/>
        <v>1+1,45364766299984i</v>
      </c>
      <c r="AH162" s="32">
        <f t="shared" si="183"/>
        <v>1.76439551352436</v>
      </c>
      <c r="AI162" s="32">
        <f t="shared" si="184"/>
        <v>0.968220709243076</v>
      </c>
      <c r="AJ162" s="32" t="str">
        <f t="shared" si="165"/>
        <v>1+0,0271347563759971i</v>
      </c>
      <c r="AK162" s="32">
        <f t="shared" si="185"/>
        <v>1.00036807976044</v>
      </c>
      <c r="AL162" s="32">
        <f t="shared" si="186"/>
        <v>0.0271280995880512</v>
      </c>
      <c r="AM162" s="32" t="str">
        <f t="shared" si="166"/>
        <v>1-0,00447817940917274i</v>
      </c>
      <c r="AN162" s="32">
        <f t="shared" si="187"/>
        <v>1.00001002699514</v>
      </c>
      <c r="AO162" s="32">
        <f t="shared" si="188"/>
        <v>-0.00447814947426073</v>
      </c>
      <c r="AP162" s="30" t="str">
        <f t="shared" si="189"/>
        <v>108,196916711695-149,893041611926i</v>
      </c>
      <c r="AQ162" s="32">
        <f t="shared" si="190"/>
        <v>45.3370212739914</v>
      </c>
      <c r="AR162" s="31">
        <f t="shared" si="191"/>
        <v>-54.1772137290895</v>
      </c>
      <c r="AS162" t="str">
        <f t="shared" si="167"/>
        <v>-0,000100699300699301</v>
      </c>
      <c r="AT162" t="str">
        <f t="shared" si="168"/>
        <v>0,000388850749852457i</v>
      </c>
      <c r="AU162">
        <f t="shared" si="192"/>
        <v>0.000388850749852457</v>
      </c>
      <c r="AV162">
        <f t="shared" si="193"/>
        <v>1.5707963267949</v>
      </c>
      <c r="AW162" t="str">
        <f t="shared" si="169"/>
        <v>1+0,0199084451695096i</v>
      </c>
      <c r="AX162">
        <f t="shared" si="194"/>
        <v>1.00019815346214</v>
      </c>
      <c r="AY162">
        <f t="shared" si="195"/>
        <v>0.0199058155826929</v>
      </c>
      <c r="AZ162" t="str">
        <f t="shared" si="170"/>
        <v>1+0,951793112678467i</v>
      </c>
      <c r="BA162">
        <f t="shared" si="196"/>
        <v>1.38054703988751</v>
      </c>
      <c r="BB162">
        <f t="shared" si="197"/>
        <v>0.76070441483434</v>
      </c>
      <c r="BC162" s="30" t="str">
        <f t="shared" si="198"/>
        <v>-0,241231258888013+0,263768995540371i</v>
      </c>
      <c r="BD162" s="32">
        <f t="shared" si="199"/>
        <v>-8.93582650947924</v>
      </c>
      <c r="BE162" s="31">
        <f t="shared" si="200"/>
        <v>132.444633206323</v>
      </c>
      <c r="BF162" s="30" t="str">
        <f t="shared" si="201"/>
        <v>3,65465034174152+7,87655730275041i</v>
      </c>
      <c r="BG162" s="68">
        <f t="shared" si="202"/>
        <v>18.7735190046869</v>
      </c>
      <c r="BH162" s="31">
        <f t="shared" si="203"/>
        <v>65.109132313155</v>
      </c>
      <c r="BI162" s="30" t="str">
        <f t="shared" si="156"/>
        <v>13,4366585983051+64,6978791682072i</v>
      </c>
      <c r="BJ162" s="68">
        <f t="shared" si="204"/>
        <v>36.4011947645122</v>
      </c>
      <c r="BK162" s="31">
        <f t="shared" si="157"/>
        <v>78.2674194772331</v>
      </c>
      <c r="BL162" s="32">
        <f t="shared" si="205"/>
        <v>18.7735190046869</v>
      </c>
      <c r="BM162" s="31">
        <f t="shared" si="206"/>
        <v>65.109132313155</v>
      </c>
      <c r="BO162">
        <f t="shared" si="207"/>
        <v>0</v>
      </c>
      <c r="BP162">
        <f t="shared" si="208"/>
        <v>0</v>
      </c>
    </row>
    <row r="163" spans="14:68">
      <c r="N163" s="7">
        <v>45</v>
      </c>
      <c r="O163" s="18">
        <f t="shared" si="158"/>
        <v>281.838293126446</v>
      </c>
      <c r="P163" s="86" t="str">
        <f t="shared" si="159"/>
        <v>60</v>
      </c>
      <c r="Q163" s="4" t="str">
        <f t="shared" si="160"/>
        <v>1+2,31390050390027i</v>
      </c>
      <c r="R163" s="4">
        <f t="shared" si="171"/>
        <v>2.52074106999309</v>
      </c>
      <c r="S163" s="4">
        <f t="shared" si="172"/>
        <v>1.16286774375323</v>
      </c>
      <c r="T163" s="4" t="str">
        <f t="shared" si="161"/>
        <v>1+0,0277668060468033i</v>
      </c>
      <c r="U163" s="4">
        <f t="shared" si="173"/>
        <v>1.00038542348339</v>
      </c>
      <c r="V163" s="4">
        <f t="shared" si="174"/>
        <v>0.0277596733184228</v>
      </c>
      <c r="W163" t="str">
        <f t="shared" si="162"/>
        <v>1-0,0387371736144019i</v>
      </c>
      <c r="X163" s="4">
        <f t="shared" si="175"/>
        <v>1.00075000305752</v>
      </c>
      <c r="Y163" s="4">
        <f t="shared" si="176"/>
        <v>-0.0387178151116259</v>
      </c>
      <c r="Z163" t="str">
        <f t="shared" si="163"/>
        <v>0,999999351568788+0,0103359362367057i</v>
      </c>
      <c r="AA163" s="4">
        <f t="shared" si="177"/>
        <v>1.00005276596582</v>
      </c>
      <c r="AB163" s="4">
        <f t="shared" si="178"/>
        <v>0.0103355748936031</v>
      </c>
      <c r="AC163" s="67" t="str">
        <f t="shared" si="179"/>
        <v>8,985028109374-22,0693709465805i</v>
      </c>
      <c r="AD163" s="68">
        <f t="shared" si="180"/>
        <v>27.5418610568018</v>
      </c>
      <c r="AE163" s="31">
        <f t="shared" si="181"/>
        <v>-67.8474539452617</v>
      </c>
      <c r="AF163" s="32" t="str">
        <f t="shared" si="182"/>
        <v>326,048966736478</v>
      </c>
      <c r="AG163" s="32" t="str">
        <f t="shared" si="164"/>
        <v>1+1,48750746679304i</v>
      </c>
      <c r="AH163" s="32">
        <f t="shared" si="183"/>
        <v>1.79239461719931</v>
      </c>
      <c r="AI163" s="32">
        <f t="shared" si="184"/>
        <v>0.978927594763376</v>
      </c>
      <c r="AJ163" s="32" t="str">
        <f t="shared" si="165"/>
        <v>1+0,0277668060468033i</v>
      </c>
      <c r="AK163" s="32">
        <f t="shared" si="185"/>
        <v>1.00038542348339</v>
      </c>
      <c r="AL163" s="32">
        <f t="shared" si="186"/>
        <v>0.0277596733184228</v>
      </c>
      <c r="AM163" s="32" t="str">
        <f t="shared" si="166"/>
        <v>1-0,00458248960758243i</v>
      </c>
      <c r="AN163" s="32">
        <f t="shared" si="187"/>
        <v>1.00001049955038</v>
      </c>
      <c r="AO163" s="32">
        <f t="shared" si="188"/>
        <v>-0.00458245753176451</v>
      </c>
      <c r="AP163" s="30" t="str">
        <f t="shared" si="189"/>
        <v>105,001125124276-148,630735224532i</v>
      </c>
      <c r="AQ163" s="32">
        <f t="shared" si="190"/>
        <v>45.2004222432889</v>
      </c>
      <c r="AR163" s="31">
        <f t="shared" si="191"/>
        <v>-54.760462983395</v>
      </c>
      <c r="AS163" t="str">
        <f t="shared" si="167"/>
        <v>-0,000100699300699301</v>
      </c>
      <c r="AT163" t="str">
        <f t="shared" si="168"/>
        <v>0,000397908247367136i</v>
      </c>
      <c r="AU163">
        <f t="shared" si="192"/>
        <v>0.000397908247367136</v>
      </c>
      <c r="AV163">
        <f t="shared" si="193"/>
        <v>1.5707963267949</v>
      </c>
      <c r="AW163" t="str">
        <f t="shared" si="169"/>
        <v>1+0,0203721724291648i</v>
      </c>
      <c r="AX163">
        <f t="shared" si="194"/>
        <v>1.00020749117845</v>
      </c>
      <c r="AY163">
        <f t="shared" si="195"/>
        <v>0.0203693548076941</v>
      </c>
      <c r="AZ163" t="str">
        <f t="shared" si="170"/>
        <v>1+0,973963222304962i</v>
      </c>
      <c r="BA163">
        <f t="shared" si="196"/>
        <v>1.39592419507746</v>
      </c>
      <c r="BB163">
        <f t="shared" si="197"/>
        <v>0.772208825516555</v>
      </c>
      <c r="BC163" s="30" t="str">
        <f t="shared" si="198"/>
        <v>-0,24122675474549+0,257985973068363i</v>
      </c>
      <c r="BD163" s="32">
        <f t="shared" si="199"/>
        <v>-9.03969508554601</v>
      </c>
      <c r="BE163" s="31">
        <f t="shared" si="200"/>
        <v>133.077228542967</v>
      </c>
      <c r="BF163" s="30" t="str">
        <f t="shared" si="201"/>
        <v>3,52615896653893+7,64173395256146i</v>
      </c>
      <c r="BG163" s="68">
        <f t="shared" si="202"/>
        <v>18.5021659712557</v>
      </c>
      <c r="BH163" s="31">
        <f t="shared" si="203"/>
        <v>65.2297745977057</v>
      </c>
      <c r="BI163" s="30" t="str">
        <f t="shared" si="156"/>
        <v>13,0155641964129+62,9425273521093i</v>
      </c>
      <c r="BJ163" s="68">
        <f t="shared" si="204"/>
        <v>36.1607271577429</v>
      </c>
      <c r="BK163" s="31">
        <f t="shared" si="157"/>
        <v>78.3167655595723</v>
      </c>
      <c r="BL163" s="32">
        <f t="shared" si="205"/>
        <v>18.5021659712557</v>
      </c>
      <c r="BM163" s="31">
        <f t="shared" si="206"/>
        <v>65.2297745977057</v>
      </c>
      <c r="BO163">
        <f t="shared" si="207"/>
        <v>0</v>
      </c>
      <c r="BP163">
        <f t="shared" si="208"/>
        <v>0</v>
      </c>
    </row>
    <row r="164" spans="14:68">
      <c r="N164" s="7">
        <v>46</v>
      </c>
      <c r="O164" s="18">
        <f t="shared" si="158"/>
        <v>288.403150312661</v>
      </c>
      <c r="P164" s="86" t="str">
        <f t="shared" si="159"/>
        <v>60</v>
      </c>
      <c r="Q164" s="4" t="str">
        <f t="shared" si="160"/>
        <v>1+2,36779817047606i</v>
      </c>
      <c r="R164" s="4">
        <f t="shared" si="171"/>
        <v>2.57030507452127</v>
      </c>
      <c r="S164" s="4">
        <f t="shared" si="172"/>
        <v>1.1711865701558</v>
      </c>
      <c r="T164" s="4" t="str">
        <f t="shared" si="161"/>
        <v>1+0,0284135780457127i</v>
      </c>
      <c r="U164" s="4">
        <f t="shared" si="173"/>
        <v>1.00040358426855</v>
      </c>
      <c r="V164" s="4">
        <f t="shared" si="174"/>
        <v>0.0284059353560694</v>
      </c>
      <c r="W164" t="str">
        <f t="shared" si="162"/>
        <v>1-0,0396394783003804i</v>
      </c>
      <c r="X164" s="4">
        <f t="shared" si="175"/>
        <v>1.00078533574385</v>
      </c>
      <c r="Y164" s="4">
        <f t="shared" si="176"/>
        <v>-0.0396187361699609</v>
      </c>
      <c r="Z164" t="str">
        <f t="shared" si="163"/>
        <v>0,999999321009166+0,0105766911196817i</v>
      </c>
      <c r="AA164" s="4">
        <f t="shared" si="177"/>
        <v>1.00005525268049</v>
      </c>
      <c r="AB164" s="4">
        <f t="shared" si="178"/>
        <v>0.0105763039347267</v>
      </c>
      <c r="AC164" s="67" t="str">
        <f t="shared" si="179"/>
        <v>8,62109348321621-21,7217345283041i</v>
      </c>
      <c r="AD164" s="68">
        <f t="shared" si="180"/>
        <v>27.3731750729615</v>
      </c>
      <c r="AE164" s="31">
        <f t="shared" si="181"/>
        <v>-68.3524712337939</v>
      </c>
      <c r="AF164" s="32" t="str">
        <f t="shared" si="182"/>
        <v>326,048966736478</v>
      </c>
      <c r="AG164" s="32" t="str">
        <f t="shared" si="164"/>
        <v>1+1,52215596673461i</v>
      </c>
      <c r="AH164" s="32">
        <f t="shared" si="183"/>
        <v>1.82125198340751</v>
      </c>
      <c r="AI164" s="32">
        <f t="shared" si="184"/>
        <v>0.989541835250547</v>
      </c>
      <c r="AJ164" s="32" t="str">
        <f t="shared" si="165"/>
        <v>1+0,0284135780457127i</v>
      </c>
      <c r="AK164" s="32">
        <f t="shared" si="185"/>
        <v>1.00040358426855</v>
      </c>
      <c r="AL164" s="32">
        <f t="shared" si="186"/>
        <v>0.0284059353560694</v>
      </c>
      <c r="AM164" s="32" t="str">
        <f t="shared" si="166"/>
        <v>1-0,00468922950263849i</v>
      </c>
      <c r="AN164" s="32">
        <f t="shared" si="187"/>
        <v>1.00001099437623</v>
      </c>
      <c r="AO164" s="32">
        <f t="shared" si="188"/>
        <v>-0.00468919513280076</v>
      </c>
      <c r="AP164" s="30" t="str">
        <f t="shared" si="189"/>
        <v>101,860397580241-147,312112621759i</v>
      </c>
      <c r="AQ164" s="32">
        <f t="shared" si="190"/>
        <v>45.0618560867813</v>
      </c>
      <c r="AR164" s="31">
        <f t="shared" si="191"/>
        <v>-55.3377016928849</v>
      </c>
      <c r="AS164" t="str">
        <f t="shared" si="167"/>
        <v>-0,000100699300699301</v>
      </c>
      <c r="AT164" t="str">
        <f t="shared" si="168"/>
        <v>0,000407176721101507i</v>
      </c>
      <c r="AU164">
        <f t="shared" si="192"/>
        <v>0.000407176721101507</v>
      </c>
      <c r="AV164">
        <f t="shared" si="193"/>
        <v>1.5707963267949</v>
      </c>
      <c r="AW164" t="str">
        <f t="shared" si="169"/>
        <v>1+0,0208467012842995i</v>
      </c>
      <c r="AX164">
        <f t="shared" si="194"/>
        <v>1.00021726887434</v>
      </c>
      <c r="AY164">
        <f t="shared" si="195"/>
        <v>0.0208436821839178</v>
      </c>
      <c r="AZ164" t="str">
        <f t="shared" si="170"/>
        <v>1+0,99664974012385i</v>
      </c>
      <c r="BA164">
        <f t="shared" si="196"/>
        <v>1.41184655840815</v>
      </c>
      <c r="BB164">
        <f t="shared" si="197"/>
        <v>0.783720224265397</v>
      </c>
      <c r="BC164" s="30" t="str">
        <f t="shared" si="198"/>
        <v>-0,241222038509542+0,252339729526637i</v>
      </c>
      <c r="BD164" s="32">
        <f t="shared" si="199"/>
        <v>-9.1412667012675</v>
      </c>
      <c r="BE164" s="31">
        <f t="shared" si="200"/>
        <v>133.709606150803</v>
      </c>
      <c r="BF164" s="30" t="str">
        <f t="shared" si="201"/>
        <v>3,40165887151893+7,41520548065925i</v>
      </c>
      <c r="BG164" s="68">
        <f t="shared" si="202"/>
        <v>18.231908371694</v>
      </c>
      <c r="BH164" s="31">
        <f t="shared" si="203"/>
        <v>65.3571349170092</v>
      </c>
      <c r="BI164" s="30" t="str">
        <f t="shared" si="156"/>
        <v>12,601725907274+61,2383532786417i</v>
      </c>
      <c r="BJ164" s="68">
        <f t="shared" si="204"/>
        <v>35.9205893855138</v>
      </c>
      <c r="BK164" s="31">
        <f t="shared" si="157"/>
        <v>78.3719044579182</v>
      </c>
      <c r="BL164" s="32">
        <f t="shared" si="205"/>
        <v>18.231908371694</v>
      </c>
      <c r="BM164" s="31">
        <f t="shared" si="206"/>
        <v>65.3571349170092</v>
      </c>
      <c r="BO164">
        <f t="shared" si="207"/>
        <v>0</v>
      </c>
      <c r="BP164">
        <f t="shared" si="208"/>
        <v>0</v>
      </c>
    </row>
    <row r="165" spans="14:68">
      <c r="N165" s="7">
        <v>47</v>
      </c>
      <c r="O165" s="18">
        <f t="shared" si="158"/>
        <v>295.120922666639</v>
      </c>
      <c r="P165" s="86" t="str">
        <f t="shared" si="159"/>
        <v>60</v>
      </c>
      <c r="Q165" s="4" t="str">
        <f t="shared" si="160"/>
        <v>1+2,42295127498334i</v>
      </c>
      <c r="R165" s="4">
        <f t="shared" si="171"/>
        <v>2.62120065636788</v>
      </c>
      <c r="S165" s="4">
        <f t="shared" si="172"/>
        <v>1.17937291193667</v>
      </c>
      <c r="T165" s="4" t="str">
        <f t="shared" si="161"/>
        <v>1+0,0290754152998001i</v>
      </c>
      <c r="U165" s="4">
        <f t="shared" si="173"/>
        <v>1.0004226005918</v>
      </c>
      <c r="V165" s="4">
        <f t="shared" si="174"/>
        <v>0.0290672261971267</v>
      </c>
      <c r="W165" t="str">
        <f t="shared" si="162"/>
        <v>1-0,0405628003624443i</v>
      </c>
      <c r="X165" s="4">
        <f t="shared" si="175"/>
        <v>1.00082233227144</v>
      </c>
      <c r="Y165" s="4">
        <f t="shared" si="176"/>
        <v>-0.040540575755449</v>
      </c>
      <c r="Z165" t="str">
        <f t="shared" si="163"/>
        <v>0,999999289009314+0,0108230539042884i</v>
      </c>
      <c r="AA165" s="4">
        <f t="shared" si="177"/>
        <v>1.00005785658378</v>
      </c>
      <c r="AB165" s="4">
        <f t="shared" si="178"/>
        <v>0.0108226390294307</v>
      </c>
      <c r="AC165" s="67" t="str">
        <f t="shared" si="179"/>
        <v>8,26865739559839-21,3737907249989i</v>
      </c>
      <c r="AD165" s="68">
        <f t="shared" si="180"/>
        <v>27.2033267644567</v>
      </c>
      <c r="AE165" s="31">
        <f t="shared" si="181"/>
        <v>-68.8505563721752</v>
      </c>
      <c r="AF165" s="32" t="str">
        <f t="shared" si="182"/>
        <v>326,048966736478</v>
      </c>
      <c r="AG165" s="32" t="str">
        <f t="shared" si="164"/>
        <v>1+1,55761153391786i</v>
      </c>
      <c r="AH165" s="32">
        <f t="shared" si="183"/>
        <v>1.85098722053772</v>
      </c>
      <c r="AI165" s="32">
        <f t="shared" si="184"/>
        <v>1.00005949182878</v>
      </c>
      <c r="AJ165" s="32" t="str">
        <f t="shared" si="165"/>
        <v>1+0,0290754152998001i</v>
      </c>
      <c r="AK165" s="32">
        <f t="shared" si="185"/>
        <v>1.0004226005918</v>
      </c>
      <c r="AL165" s="32">
        <f t="shared" si="186"/>
        <v>0.0290672261971267</v>
      </c>
      <c r="AM165" s="32" t="str">
        <f t="shared" si="166"/>
        <v>1-0,00479845568924612i</v>
      </c>
      <c r="AN165" s="32">
        <f t="shared" si="187"/>
        <v>1.00001151252223</v>
      </c>
      <c r="AO165" s="32">
        <f t="shared" si="188"/>
        <v>-0.00479841886132437</v>
      </c>
      <c r="AP165" s="30" t="str">
        <f t="shared" si="189"/>
        <v>98,7765657652971-145,940040520299i</v>
      </c>
      <c r="AQ165" s="32">
        <f t="shared" si="190"/>
        <v>44.9213580408502</v>
      </c>
      <c r="AR165" s="31">
        <f t="shared" si="191"/>
        <v>-55.9086879096294</v>
      </c>
      <c r="AS165" t="str">
        <f t="shared" si="167"/>
        <v>-0,000100699300699301</v>
      </c>
      <c r="AT165" t="str">
        <f t="shared" si="168"/>
        <v>0,000416661085323027i</v>
      </c>
      <c r="AU165">
        <f t="shared" si="192"/>
        <v>0.000416661085323027</v>
      </c>
      <c r="AV165">
        <f t="shared" si="193"/>
        <v>1.5707963267949</v>
      </c>
      <c r="AW165" t="str">
        <f t="shared" si="169"/>
        <v>1+0,0213322833363939i</v>
      </c>
      <c r="AX165">
        <f t="shared" si="194"/>
        <v>1.00022750727639</v>
      </c>
      <c r="AY165">
        <f t="shared" si="195"/>
        <v>0.0213290483517902</v>
      </c>
      <c r="AZ165" t="str">
        <f t="shared" si="170"/>
        <v>1+1,01986469482717i</v>
      </c>
      <c r="BA165">
        <f t="shared" si="196"/>
        <v>1.42832909224552</v>
      </c>
      <c r="BB165">
        <f t="shared" si="197"/>
        <v>0.795232512437309</v>
      </c>
      <c r="BC165" s="30" t="str">
        <f t="shared" si="198"/>
        <v>-0,241217100201894+0,246827270584211i</v>
      </c>
      <c r="BD165" s="32">
        <f t="shared" si="199"/>
        <v>-9.24053996116096</v>
      </c>
      <c r="BE165" s="31">
        <f t="shared" si="200"/>
        <v>134.341402242654</v>
      </c>
      <c r="BF165" s="30" t="str">
        <f t="shared" si="201"/>
        <v>3,28109286716041+7,19665395535787i</v>
      </c>
      <c r="BG165" s="68">
        <f t="shared" si="202"/>
        <v>17.9627868032957</v>
      </c>
      <c r="BH165" s="31">
        <f t="shared" si="203"/>
        <v>65.4908458704792</v>
      </c>
      <c r="BI165" s="30" t="str">
        <f t="shared" si="156"/>
        <v>12,1953851087679+59,5839835031835i</v>
      </c>
      <c r="BJ165" s="68">
        <f t="shared" si="204"/>
        <v>35.6808180796893</v>
      </c>
      <c r="BK165" s="31">
        <f t="shared" si="157"/>
        <v>78.4327143330251</v>
      </c>
      <c r="BL165" s="32">
        <f t="shared" si="205"/>
        <v>17.9627868032957</v>
      </c>
      <c r="BM165" s="31">
        <f t="shared" si="206"/>
        <v>65.4908458704792</v>
      </c>
      <c r="BO165">
        <f t="shared" si="207"/>
        <v>0</v>
      </c>
      <c r="BP165">
        <f t="shared" si="208"/>
        <v>0</v>
      </c>
    </row>
    <row r="166" spans="14:68">
      <c r="N166" s="7">
        <v>48</v>
      </c>
      <c r="O166" s="18">
        <f t="shared" si="158"/>
        <v>301.995172040202</v>
      </c>
      <c r="P166" s="86" t="str">
        <f t="shared" si="159"/>
        <v>60</v>
      </c>
      <c r="Q166" s="4" t="str">
        <f t="shared" si="160"/>
        <v>1+2,47938906032817i</v>
      </c>
      <c r="R166" s="4">
        <f t="shared" si="171"/>
        <v>2.67345658511131</v>
      </c>
      <c r="S166" s="4">
        <f t="shared" si="172"/>
        <v>1.18742671961302</v>
      </c>
      <c r="T166" s="4" t="str">
        <f t="shared" si="161"/>
        <v>1+0,029752668723938i</v>
      </c>
      <c r="U166" s="4">
        <f t="shared" si="173"/>
        <v>1.00044251273934</v>
      </c>
      <c r="V166" s="4">
        <f t="shared" si="174"/>
        <v>0.0297438941519385</v>
      </c>
      <c r="W166" t="str">
        <f t="shared" si="162"/>
        <v>1-0,0415076293581725i</v>
      </c>
      <c r="X166" s="4">
        <f t="shared" si="175"/>
        <v>1.0008610709259</v>
      </c>
      <c r="Y166" s="4">
        <f t="shared" si="176"/>
        <v>-0.0414838163691192</v>
      </c>
      <c r="Z166" t="str">
        <f t="shared" si="163"/>
        <v>0,999999255501356+0,0110751552153351i</v>
      </c>
      <c r="AA166" s="4">
        <f t="shared" si="177"/>
        <v>1.00006058319799</v>
      </c>
      <c r="AB166" s="4">
        <f t="shared" si="178"/>
        <v>0.0110747106703702</v>
      </c>
      <c r="AC166" s="67" t="str">
        <f t="shared" si="179"/>
        <v>7,92753942772487-21,0259155436964i</v>
      </c>
      <c r="AD166" s="68">
        <f t="shared" si="180"/>
        <v>27.0323548024446</v>
      </c>
      <c r="AE166" s="31">
        <f t="shared" si="181"/>
        <v>-69.3417216904873</v>
      </c>
      <c r="AF166" s="32" t="str">
        <f t="shared" si="182"/>
        <v>326,048966736478</v>
      </c>
      <c r="AG166" s="32" t="str">
        <f t="shared" si="164"/>
        <v>1+1,59389296735382i</v>
      </c>
      <c r="AH166" s="32">
        <f t="shared" si="183"/>
        <v>1.88162025695409</v>
      </c>
      <c r="AI166" s="32">
        <f t="shared" si="184"/>
        <v>1.01047683310327</v>
      </c>
      <c r="AJ166" s="32" t="str">
        <f t="shared" si="165"/>
        <v>1+0,029752668723938i</v>
      </c>
      <c r="AK166" s="32">
        <f t="shared" si="185"/>
        <v>1.00044251273934</v>
      </c>
      <c r="AL166" s="32">
        <f t="shared" si="186"/>
        <v>0.0297438941519385</v>
      </c>
      <c r="AM166" s="32" t="str">
        <f t="shared" si="166"/>
        <v>1-0,00491022608057527i</v>
      </c>
      <c r="AN166" s="32">
        <f t="shared" si="187"/>
        <v>1.00001205508742</v>
      </c>
      <c r="AO166" s="32">
        <f t="shared" si="188"/>
        <v>-0.00491018661877184</v>
      </c>
      <c r="AP166" s="30" t="str">
        <f t="shared" si="189"/>
        <v>95,7512772389898-144,517434651293i</v>
      </c>
      <c r="AQ166" s="32">
        <f t="shared" si="190"/>
        <v>44.7789644420352</v>
      </c>
      <c r="AR166" s="31">
        <f t="shared" si="191"/>
        <v>-56.4731912012499</v>
      </c>
      <c r="AS166" t="str">
        <f t="shared" si="167"/>
        <v>-0,000100699300699301</v>
      </c>
      <c r="AT166" t="str">
        <f t="shared" si="168"/>
        <v>0,000426366368767147i</v>
      </c>
      <c r="AU166">
        <f t="shared" si="192"/>
        <v>0.000426366368767147</v>
      </c>
      <c r="AV166">
        <f t="shared" si="193"/>
        <v>1.5707963267949</v>
      </c>
      <c r="AW166" t="str">
        <f t="shared" si="169"/>
        <v>1+0,0218291760474794i</v>
      </c>
      <c r="AX166">
        <f t="shared" si="194"/>
        <v>1.00023822808715</v>
      </c>
      <c r="AY166">
        <f t="shared" si="195"/>
        <v>0.0218257097436118</v>
      </c>
      <c r="AZ166" t="str">
        <f t="shared" si="170"/>
        <v>1+1,04362039529119i</v>
      </c>
      <c r="BA166">
        <f t="shared" si="196"/>
        <v>1.44538698259938</v>
      </c>
      <c r="BB166">
        <f t="shared" si="197"/>
        <v>0.806739589032965</v>
      </c>
      <c r="BC166" s="30" t="str">
        <f t="shared" si="198"/>
        <v>-0,241211929375683+0,241445672800342i</v>
      </c>
      <c r="BD166" s="32">
        <f t="shared" si="199"/>
        <v>-9.33751591798548</v>
      </c>
      <c r="BE166" s="31">
        <f t="shared" si="200"/>
        <v>134.972252564521</v>
      </c>
      <c r="BF166" s="30" t="str">
        <f t="shared" si="201"/>
        <v>3,16439924412763+6,98577174596344i</v>
      </c>
      <c r="BG166" s="68">
        <f t="shared" si="202"/>
        <v>17.6948388844591</v>
      </c>
      <c r="BH166" s="31">
        <f t="shared" si="203"/>
        <v>65.6305308740335</v>
      </c>
      <c r="BI166" s="30" t="str">
        <f t="shared" si="156"/>
        <v>11,7967589177582+57,9780607951225i</v>
      </c>
      <c r="BJ166" s="68">
        <f t="shared" si="204"/>
        <v>35.4414485240497</v>
      </c>
      <c r="BK166" s="31">
        <f t="shared" si="157"/>
        <v>78.4990613632709</v>
      </c>
      <c r="BL166" s="32">
        <f t="shared" si="205"/>
        <v>17.6948388844591</v>
      </c>
      <c r="BM166" s="31">
        <f t="shared" si="206"/>
        <v>65.6305308740335</v>
      </c>
      <c r="BO166">
        <f t="shared" si="207"/>
        <v>0</v>
      </c>
      <c r="BP166">
        <f t="shared" si="208"/>
        <v>0</v>
      </c>
    </row>
    <row r="167" spans="14:68">
      <c r="N167" s="7">
        <v>49</v>
      </c>
      <c r="O167" s="18">
        <f t="shared" si="158"/>
        <v>309.029543251359</v>
      </c>
      <c r="P167" s="86" t="str">
        <f t="shared" si="159"/>
        <v>60</v>
      </c>
      <c r="Q167" s="4" t="str">
        <f t="shared" si="160"/>
        <v>1+2,53714145057138i</v>
      </c>
      <c r="R167" s="4">
        <f t="shared" si="171"/>
        <v>2.72710226068027</v>
      </c>
      <c r="S167" s="4">
        <f t="shared" si="172"/>
        <v>1.19534808316977</v>
      </c>
      <c r="T167" s="4" t="str">
        <f t="shared" si="161"/>
        <v>1+0,0304456974068565i</v>
      </c>
      <c r="U167" s="4">
        <f t="shared" si="173"/>
        <v>1.00046336289271</v>
      </c>
      <c r="V167" s="4">
        <f t="shared" si="174"/>
        <v>0.0304362955187337</v>
      </c>
      <c r="W167" t="str">
        <f t="shared" si="162"/>
        <v>1-0,0424744662484048i</v>
      </c>
      <c r="X167" s="4">
        <f t="shared" si="175"/>
        <v>1.00090163366991</v>
      </c>
      <c r="Y167" s="4">
        <f t="shared" si="176"/>
        <v>-0.0424489514121723</v>
      </c>
      <c r="Z167" t="str">
        <f t="shared" si="163"/>
        <v>0,999999220414216+0,0113331287202741i</v>
      </c>
      <c r="AA167" s="4">
        <f t="shared" si="177"/>
        <v>1.00006343830561</v>
      </c>
      <c r="AB167" s="4">
        <f t="shared" si="178"/>
        <v>0.011332652383394</v>
      </c>
      <c r="AC167" s="67" t="str">
        <f t="shared" si="179"/>
        <v>7,59754733271565-20,6784669484578i</v>
      </c>
      <c r="AD167" s="68">
        <f t="shared" si="180"/>
        <v>26.860297288125</v>
      </c>
      <c r="AE167" s="31">
        <f t="shared" si="181"/>
        <v>-69.8259878503749</v>
      </c>
      <c r="AF167" s="32" t="str">
        <f t="shared" si="182"/>
        <v>326,048966736478</v>
      </c>
      <c r="AG167" s="32" t="str">
        <f t="shared" si="164"/>
        <v>1+1,63101950393874i</v>
      </c>
      <c r="AH167" s="32">
        <f t="shared" si="183"/>
        <v>1.91317135203007</v>
      </c>
      <c r="AI167" s="32">
        <f t="shared" si="184"/>
        <v>1.02079033819701</v>
      </c>
      <c r="AJ167" s="32" t="str">
        <f t="shared" si="165"/>
        <v>1+0,0304456974068565i</v>
      </c>
      <c r="AK167" s="32">
        <f t="shared" si="185"/>
        <v>1.00046336289271</v>
      </c>
      <c r="AL167" s="32">
        <f t="shared" si="186"/>
        <v>0.0304362955187337</v>
      </c>
      <c r="AM167" s="32" t="str">
        <f t="shared" si="166"/>
        <v>1-0,00502459993876687i</v>
      </c>
      <c r="AN167" s="32">
        <f t="shared" si="187"/>
        <v>1.0000126232226</v>
      </c>
      <c r="AO167" s="32">
        <f t="shared" si="188"/>
        <v>-0.0050245576547115</v>
      </c>
      <c r="AP167" s="30" t="str">
        <f t="shared" si="189"/>
        <v>92,7859959118333-143,047246461802i</v>
      </c>
      <c r="AQ167" s="32">
        <f t="shared" si="190"/>
        <v>44.634712613141</v>
      </c>
      <c r="AR167" s="31">
        <f t="shared" si="191"/>
        <v>-57.0309928167195</v>
      </c>
      <c r="AS167" t="str">
        <f t="shared" si="167"/>
        <v>-0,000100699300699301</v>
      </c>
      <c r="AT167" t="str">
        <f t="shared" si="168"/>
        <v>0,000436297717303613i</v>
      </c>
      <c r="AU167">
        <f t="shared" si="192"/>
        <v>0.000436297717303613</v>
      </c>
      <c r="AV167">
        <f t="shared" si="193"/>
        <v>1.5707963267949</v>
      </c>
      <c r="AW167" t="str">
        <f t="shared" si="169"/>
        <v>1+0,0223376428766485i</v>
      </c>
      <c r="AX167">
        <f t="shared" si="194"/>
        <v>1.00024945403099</v>
      </c>
      <c r="AY167">
        <f t="shared" si="195"/>
        <v>0.0223339287151628</v>
      </c>
      <c r="AZ167" t="str">
        <f t="shared" si="170"/>
        <v>1+1,06792943710275i</v>
      </c>
      <c r="BA167">
        <f t="shared" si="196"/>
        <v>1.46303563956269</v>
      </c>
      <c r="BB167">
        <f t="shared" si="197"/>
        <v>0.818235366850441</v>
      </c>
      <c r="BC167" s="30" t="str">
        <f t="shared" si="198"/>
        <v>-0,241206515093544+0,236192082071333i</v>
      </c>
      <c r="BD167" s="32">
        <f t="shared" si="199"/>
        <v>-9.43219806947803</v>
      </c>
      <c r="BE167" s="31">
        <f t="shared" si="200"/>
        <v>135.601793313544</v>
      </c>
      <c r="BF167" s="30" t="str">
        <f t="shared" si="201"/>
        <v>3,0515122472169+6,78226147326415i</v>
      </c>
      <c r="BG167" s="68">
        <f t="shared" si="202"/>
        <v>17.428099218647</v>
      </c>
      <c r="BH167" s="31">
        <f t="shared" si="203"/>
        <v>65.775805463169</v>
      </c>
      <c r="BI167" s="30" t="str">
        <f t="shared" si="156"/>
        <v>11,406040253007+56,4192453742566i</v>
      </c>
      <c r="BJ167" s="68">
        <f t="shared" si="204"/>
        <v>35.202514543663</v>
      </c>
      <c r="BK167" s="31">
        <f t="shared" si="157"/>
        <v>78.5708004968244</v>
      </c>
      <c r="BL167" s="32">
        <f t="shared" si="205"/>
        <v>17.428099218647</v>
      </c>
      <c r="BM167" s="31">
        <f t="shared" si="206"/>
        <v>65.775805463169</v>
      </c>
      <c r="BO167">
        <f t="shared" si="207"/>
        <v>0</v>
      </c>
      <c r="BP167">
        <f t="shared" si="208"/>
        <v>0</v>
      </c>
    </row>
    <row r="168" spans="14:68">
      <c r="N168" s="7">
        <v>50</v>
      </c>
      <c r="O168" s="18">
        <f t="shared" si="158"/>
        <v>316.227766016838</v>
      </c>
      <c r="P168" s="86" t="str">
        <f t="shared" si="159"/>
        <v>60</v>
      </c>
      <c r="Q168" s="4" t="str">
        <f t="shared" si="160"/>
        <v>1+2,59623906679471i</v>
      </c>
      <c r="R168" s="4">
        <f t="shared" si="171"/>
        <v>2.78216773253358</v>
      </c>
      <c r="S168" s="4">
        <f t="shared" si="172"/>
        <v>1.20313722518474</v>
      </c>
      <c r="T168" s="4" t="str">
        <f t="shared" si="161"/>
        <v>1+0,0311548688015366i</v>
      </c>
      <c r="U168" s="4">
        <f t="shared" si="173"/>
        <v>1.00048519521782</v>
      </c>
      <c r="V168" s="4">
        <f t="shared" si="174"/>
        <v>0.0311447947607563</v>
      </c>
      <c r="W168" t="str">
        <f t="shared" si="162"/>
        <v>1-0,0434638236628579i</v>
      </c>
      <c r="X168" s="4">
        <f t="shared" si="175"/>
        <v>1.00094410631533</v>
      </c>
      <c r="Y168" s="4">
        <f t="shared" si="176"/>
        <v>-0.043436485415809</v>
      </c>
      <c r="Z168" t="str">
        <f t="shared" si="163"/>
        <v>0,999999183673469+0,0115971112000722i</v>
      </c>
      <c r="AA168" s="4">
        <f t="shared" si="177"/>
        <v>1.00006642796156</v>
      </c>
      <c r="AB168" s="4">
        <f t="shared" si="178"/>
        <v>0.0115966007977404</v>
      </c>
      <c r="AC168" s="67" t="str">
        <f t="shared" si="179"/>
        <v>7,2784783755955-20,3317848221505i</v>
      </c>
      <c r="AD168" s="68">
        <f t="shared" si="180"/>
        <v>26.6871917180328</v>
      </c>
      <c r="AE168" s="31">
        <f t="shared" si="181"/>
        <v>-70.30338345819</v>
      </c>
      <c r="AF168" s="32" t="str">
        <f t="shared" si="182"/>
        <v>326,048966736478</v>
      </c>
      <c r="AG168" s="32" t="str">
        <f t="shared" si="164"/>
        <v>1+1,66901082865375i</v>
      </c>
      <c r="AH168" s="32">
        <f t="shared" si="183"/>
        <v>1.9456611077378</v>
      </c>
      <c r="AI168" s="32">
        <f t="shared" si="184"/>
        <v>1.0309966988468</v>
      </c>
      <c r="AJ168" s="32" t="str">
        <f t="shared" si="165"/>
        <v>1+0,0311548688015366i</v>
      </c>
      <c r="AK168" s="32">
        <f t="shared" si="185"/>
        <v>1.00048519521782</v>
      </c>
      <c r="AL168" s="32">
        <f t="shared" si="186"/>
        <v>0.0311447947607563</v>
      </c>
      <c r="AM168" s="32" t="str">
        <f t="shared" si="166"/>
        <v>1-0,00514163790635444i</v>
      </c>
      <c r="AN168" s="32">
        <f t="shared" si="187"/>
        <v>1.00001321813282</v>
      </c>
      <c r="AO168" s="32">
        <f t="shared" si="188"/>
        <v>-0.00514159259820516</v>
      </c>
      <c r="AP168" s="30" t="str">
        <f t="shared" si="189"/>
        <v>89,8820035680765-141,532450201363i</v>
      </c>
      <c r="AQ168" s="32">
        <f t="shared" si="190"/>
        <v>44.4886407500075</v>
      </c>
      <c r="AR168" s="31">
        <f t="shared" si="191"/>
        <v>-57.5818857981023</v>
      </c>
      <c r="AS168" t="str">
        <f t="shared" si="167"/>
        <v>-0,000100699300699301</v>
      </c>
      <c r="AT168" t="str">
        <f t="shared" si="168"/>
        <v>0,000446460396664877i</v>
      </c>
      <c r="AU168">
        <f t="shared" si="192"/>
        <v>0.000446460396664877</v>
      </c>
      <c r="AV168">
        <f t="shared" si="193"/>
        <v>1.5707963267949</v>
      </c>
      <c r="AW168" t="str">
        <f t="shared" si="169"/>
        <v>1+0,0228579534197445i</v>
      </c>
      <c r="AX168">
        <f t="shared" si="194"/>
        <v>1.00026120890222</v>
      </c>
      <c r="AY168">
        <f t="shared" si="195"/>
        <v>0.0228539736801384</v>
      </c>
      <c r="AZ168" t="str">
        <f t="shared" si="170"/>
        <v>1+1,09280470923757i</v>
      </c>
      <c r="BA168">
        <f t="shared" si="196"/>
        <v>1.48129069818581</v>
      </c>
      <c r="BB168">
        <f t="shared" si="197"/>
        <v>0.829713788549334</v>
      </c>
      <c r="BC168" s="30" t="str">
        <f t="shared" si="198"/>
        <v>-0,241200845904652+0,231063712113871i</v>
      </c>
      <c r="BD168" s="32">
        <f t="shared" si="199"/>
        <v>-9.52459234480968</v>
      </c>
      <c r="BE168" s="31">
        <f t="shared" si="200"/>
        <v>136.229662050712</v>
      </c>
      <c r="BF168" s="30" t="str">
        <f t="shared" si="201"/>
        <v>2,9423625338142+6,5858359298597i</v>
      </c>
      <c r="BG168" s="68">
        <f t="shared" si="202"/>
        <v>17.1625993732232</v>
      </c>
      <c r="BH168" s="31">
        <f t="shared" si="203"/>
        <v>65.9262785925218</v>
      </c>
      <c r="BI168" s="30" t="str">
        <f t="shared" si="156"/>
        <v>11,0233980358735+54,9062161081987i</v>
      </c>
      <c r="BJ168" s="68">
        <f t="shared" si="204"/>
        <v>34.9640484051978</v>
      </c>
      <c r="BK168" s="31">
        <f t="shared" si="157"/>
        <v>78.6477762526096</v>
      </c>
      <c r="BL168" s="32">
        <f t="shared" si="205"/>
        <v>17.1625993732232</v>
      </c>
      <c r="BM168" s="31">
        <f t="shared" si="206"/>
        <v>65.9262785925218</v>
      </c>
      <c r="BO168">
        <f t="shared" si="207"/>
        <v>0</v>
      </c>
      <c r="BP168">
        <f t="shared" si="208"/>
        <v>0</v>
      </c>
    </row>
    <row r="169" spans="14:68">
      <c r="N169" s="7">
        <v>51</v>
      </c>
      <c r="O169" s="18">
        <f t="shared" si="158"/>
        <v>323.593656929628</v>
      </c>
      <c r="P169" s="86" t="str">
        <f t="shared" si="159"/>
        <v>60</v>
      </c>
      <c r="Q169" s="4" t="str">
        <f t="shared" si="160"/>
        <v>1+2,65671324333655i</v>
      </c>
      <c r="R169" s="4">
        <f t="shared" si="171"/>
        <v>2.83868371914164</v>
      </c>
      <c r="S169" s="4">
        <f t="shared" si="172"/>
        <v>1.21079449395606</v>
      </c>
      <c r="T169" s="4" t="str">
        <f t="shared" si="161"/>
        <v>1+0,0318805589200387i</v>
      </c>
      <c r="U169" s="4">
        <f t="shared" si="173"/>
        <v>1.0005080559581</v>
      </c>
      <c r="V169" s="4">
        <f t="shared" si="174"/>
        <v>0.0318697646868853</v>
      </c>
      <c r="W169" t="str">
        <f t="shared" si="162"/>
        <v>1-0,0444762261719289i</v>
      </c>
      <c r="X169" s="4">
        <f t="shared" si="175"/>
        <v>1.00098857870332</v>
      </c>
      <c r="Y169" s="4">
        <f t="shared" si="176"/>
        <v>-0.0444469342747111</v>
      </c>
      <c r="Z169" t="str">
        <f t="shared" si="163"/>
        <v>0,999999145201185+0,0118672426217345i</v>
      </c>
      <c r="AA169" s="4">
        <f t="shared" si="177"/>
        <v>1.00006955850608</v>
      </c>
      <c r="AB169" s="4">
        <f t="shared" si="178"/>
        <v>0.0118666957178369</v>
      </c>
      <c r="AC169" s="67" t="str">
        <f t="shared" si="179"/>
        <v>6,97012062310549-19,9861910149941i</v>
      </c>
      <c r="AD169" s="68">
        <f t="shared" si="180"/>
        <v>26.5130749537741</v>
      </c>
      <c r="AE169" s="31">
        <f t="shared" si="181"/>
        <v>-70.773944678361</v>
      </c>
      <c r="AF169" s="32" t="str">
        <f t="shared" si="182"/>
        <v>326,048966736478</v>
      </c>
      <c r="AG169" s="32" t="str">
        <f t="shared" si="164"/>
        <v>1+1,70788708500207i</v>
      </c>
      <c r="AH169" s="32">
        <f t="shared" si="183"/>
        <v>1.97911048077586</v>
      </c>
      <c r="AI169" s="32">
        <f t="shared" si="184"/>
        <v>1.04109282058907</v>
      </c>
      <c r="AJ169" s="32" t="str">
        <f t="shared" si="165"/>
        <v>1+0,0318805589200387i</v>
      </c>
      <c r="AK169" s="32">
        <f t="shared" si="185"/>
        <v>1.0005080559581</v>
      </c>
      <c r="AL169" s="32">
        <f t="shared" si="186"/>
        <v>0.0318697646868853</v>
      </c>
      <c r="AM169" s="32" t="str">
        <f t="shared" si="166"/>
        <v>1-0,00526140203841758i</v>
      </c>
      <c r="AN169" s="32">
        <f t="shared" si="187"/>
        <v>1.00001384107992</v>
      </c>
      <c r="AO169" s="32">
        <f t="shared" si="188"/>
        <v>-0.00526135348989723</v>
      </c>
      <c r="AP169" s="30" t="str">
        <f t="shared" si="189"/>
        <v>87,0404023660194-139,976030477659i</v>
      </c>
      <c r="AQ169" s="32">
        <f t="shared" si="190"/>
        <v>44.3407878095723</v>
      </c>
      <c r="AR169" s="31">
        <f t="shared" si="191"/>
        <v>-58.1256750399884</v>
      </c>
      <c r="AS169" t="str">
        <f t="shared" si="167"/>
        <v>-0,000100699300699301</v>
      </c>
      <c r="AT169" t="str">
        <f t="shared" si="168"/>
        <v>0,000456859795238054i</v>
      </c>
      <c r="AU169">
        <f t="shared" si="192"/>
        <v>0.000456859795238054</v>
      </c>
      <c r="AV169">
        <f t="shared" si="193"/>
        <v>1.5707963267949</v>
      </c>
      <c r="AW169" t="str">
        <f t="shared" si="169"/>
        <v>1+0,0233903835523044i</v>
      </c>
      <c r="AX169">
        <f t="shared" si="194"/>
        <v>1.00027351761542</v>
      </c>
      <c r="AY169">
        <f t="shared" si="195"/>
        <v>0.0233861192474618</v>
      </c>
      <c r="AZ169" t="str">
        <f t="shared" si="170"/>
        <v>1+1,11825940089421i</v>
      </c>
      <c r="BA169">
        <f t="shared" si="196"/>
        <v>1.50016801981921</v>
      </c>
      <c r="BB169">
        <f t="shared" si="197"/>
        <v>0.841168842522766</v>
      </c>
      <c r="BC169" s="30" t="str">
        <f t="shared" si="198"/>
        <v>-0,241194909820739+0,2260578429841i</v>
      </c>
      <c r="BD169" s="32">
        <f t="shared" si="199"/>
        <v>-9.61470708088667</v>
      </c>
      <c r="BE169" s="31">
        <f t="shared" si="200"/>
        <v>136.85549860239</v>
      </c>
      <c r="BF169" s="30" t="str">
        <f t="shared" si="201"/>
        <v>2,83687761518816+6,39621797291978i</v>
      </c>
      <c r="BG169" s="68">
        <f t="shared" si="202"/>
        <v>16.8983678728874</v>
      </c>
      <c r="BH169" s="31">
        <f t="shared" si="203"/>
        <v>66.0815539240289</v>
      </c>
      <c r="BI169" s="30" t="str">
        <f t="shared" si="156"/>
        <v>10,6489775198234+53,4376716594545i</v>
      </c>
      <c r="BJ169" s="68">
        <f t="shared" si="204"/>
        <v>34.7260807286856</v>
      </c>
      <c r="BK169" s="31">
        <f t="shared" si="157"/>
        <v>78.7298235624014</v>
      </c>
      <c r="BL169" s="32">
        <f t="shared" si="205"/>
        <v>16.8983678728874</v>
      </c>
      <c r="BM169" s="31">
        <f t="shared" si="206"/>
        <v>66.0815539240289</v>
      </c>
      <c r="BO169">
        <f t="shared" si="207"/>
        <v>0</v>
      </c>
      <c r="BP169">
        <f t="shared" si="208"/>
        <v>0</v>
      </c>
    </row>
    <row r="170" spans="14:68">
      <c r="N170" s="7">
        <v>52</v>
      </c>
      <c r="O170" s="18">
        <f t="shared" si="158"/>
        <v>331.131121482591</v>
      </c>
      <c r="P170" s="86" t="str">
        <f t="shared" si="159"/>
        <v>60</v>
      </c>
      <c r="Q170" s="4" t="str">
        <f t="shared" si="160"/>
        <v>1+2,71859604440576i</v>
      </c>
      <c r="R170" s="4">
        <f t="shared" si="171"/>
        <v>2.89668162776972</v>
      </c>
      <c r="S170" s="4">
        <f t="shared" si="172"/>
        <v>1.21832035666313</v>
      </c>
      <c r="T170" s="4" t="str">
        <f t="shared" si="161"/>
        <v>1+0,0326231525328692i</v>
      </c>
      <c r="U170" s="4">
        <f t="shared" si="173"/>
        <v>1.00053199353203</v>
      </c>
      <c r="V170" s="4">
        <f t="shared" si="174"/>
        <v>0.0326115866357828</v>
      </c>
      <c r="W170" t="str">
        <f t="shared" si="162"/>
        <v>1-0,0455122105648287i</v>
      </c>
      <c r="X170" s="4">
        <f t="shared" si="175"/>
        <v>1.00103514489277</v>
      </c>
      <c r="Y170" s="4">
        <f t="shared" si="176"/>
        <v>-0.0454808254841368</v>
      </c>
      <c r="Z170" t="str">
        <f t="shared" si="163"/>
        <v>0,999999104915758+0,0121436662125164i</v>
      </c>
      <c r="AA170" s="4">
        <f t="shared" si="177"/>
        <v>1.00007283657812</v>
      </c>
      <c r="AB170" s="4">
        <f t="shared" si="178"/>
        <v>0.012143080196737</v>
      </c>
      <c r="AC170" s="67" t="str">
        <f t="shared" si="179"/>
        <v>6,67225417934268-19,6419894721698i</v>
      </c>
      <c r="AD170" s="68">
        <f t="shared" si="180"/>
        <v>26.3379831960377</v>
      </c>
      <c r="AE170" s="31">
        <f t="shared" si="181"/>
        <v>-71.2377148487892</v>
      </c>
      <c r="AF170" s="32" t="str">
        <f t="shared" si="182"/>
        <v>326,048966736478</v>
      </c>
      <c r="AG170" s="32" t="str">
        <f t="shared" si="164"/>
        <v>1+1,74766888568942i</v>
      </c>
      <c r="AH170" s="32">
        <f t="shared" si="183"/>
        <v>2.01354079521794</v>
      </c>
      <c r="AI170" s="32">
        <f t="shared" si="184"/>
        <v>1.05107582307209</v>
      </c>
      <c r="AJ170" s="32" t="str">
        <f t="shared" si="165"/>
        <v>1+0,0326231525328692i</v>
      </c>
      <c r="AK170" s="32">
        <f t="shared" si="185"/>
        <v>1.00053199353203</v>
      </c>
      <c r="AL170" s="32">
        <f t="shared" si="186"/>
        <v>0.0326115866357828</v>
      </c>
      <c r="AM170" s="32" t="str">
        <f t="shared" si="166"/>
        <v>1-0,00538395583548438i</v>
      </c>
      <c r="AN170" s="32">
        <f t="shared" si="187"/>
        <v>1.00001449338519</v>
      </c>
      <c r="AO170" s="32">
        <f t="shared" si="188"/>
        <v>-0.0053839038148483</v>
      </c>
      <c r="AP170" s="30" t="str">
        <f t="shared" si="189"/>
        <v>84,2621182415551-138,380970355135i</v>
      </c>
      <c r="AQ170" s="32">
        <f t="shared" si="190"/>
        <v>44.1911933998161</v>
      </c>
      <c r="AR170" s="31">
        <f t="shared" si="191"/>
        <v>-58.6621772987098</v>
      </c>
      <c r="AS170" t="str">
        <f t="shared" si="167"/>
        <v>-0,000100699300699301</v>
      </c>
      <c r="AT170" t="str">
        <f t="shared" si="168"/>
        <v>0,000467501426921921i</v>
      </c>
      <c r="AU170">
        <f t="shared" si="192"/>
        <v>0.000467501426921921</v>
      </c>
      <c r="AV170">
        <f t="shared" si="193"/>
        <v>1.5707963267949</v>
      </c>
      <c r="AW170" t="str">
        <f t="shared" si="169"/>
        <v>1+0,0239352155758321i</v>
      </c>
      <c r="AX170">
        <f t="shared" si="194"/>
        <v>1.00028640625806</v>
      </c>
      <c r="AY170">
        <f t="shared" si="195"/>
        <v>0.0239306463615265</v>
      </c>
      <c r="AZ170" t="str">
        <f t="shared" si="170"/>
        <v>1+1,14430700848712i</v>
      </c>
      <c r="BA170">
        <f t="shared" si="196"/>
        <v>1.51968369395501</v>
      </c>
      <c r="BB170">
        <f t="shared" si="197"/>
        <v>0.852594578476312</v>
      </c>
      <c r="BC170" s="30" t="str">
        <f t="shared" si="198"/>
        <v>-0,241188694290962+0,221171819631593i</v>
      </c>
      <c r="BD170" s="32">
        <f t="shared" si="199"/>
        <v>-9.70255298871461</v>
      </c>
      <c r="BE170" s="31">
        <f t="shared" si="200"/>
        <v>137.478945944892</v>
      </c>
      <c r="BF170" s="30" t="str">
        <f t="shared" si="201"/>
        <v>2,73498227925131+6,21314039195918i</v>
      </c>
      <c r="BG170" s="68">
        <f t="shared" si="202"/>
        <v>16.6354302073231</v>
      </c>
      <c r="BH170" s="31">
        <f t="shared" si="203"/>
        <v>66.2412310961033</v>
      </c>
      <c r="BI170" s="30" t="str">
        <f t="shared" si="156"/>
        <v>10,2829007389594+52,0123315721685i</v>
      </c>
      <c r="BJ170" s="68">
        <f t="shared" si="204"/>
        <v>34.4886404111015</v>
      </c>
      <c r="BK170" s="31">
        <f t="shared" si="157"/>
        <v>78.8167686461827</v>
      </c>
      <c r="BL170" s="32">
        <f t="shared" si="205"/>
        <v>16.6354302073231</v>
      </c>
      <c r="BM170" s="31">
        <f t="shared" si="206"/>
        <v>66.2412310961033</v>
      </c>
      <c r="BO170">
        <f t="shared" si="207"/>
        <v>0</v>
      </c>
      <c r="BP170">
        <f t="shared" si="208"/>
        <v>0</v>
      </c>
    </row>
    <row r="171" spans="14:68">
      <c r="N171" s="7">
        <v>53</v>
      </c>
      <c r="O171" s="18">
        <f t="shared" si="158"/>
        <v>338.844156139203</v>
      </c>
      <c r="P171" s="86" t="str">
        <f t="shared" si="159"/>
        <v>60</v>
      </c>
      <c r="Q171" s="4" t="str">
        <f t="shared" si="160"/>
        <v>1+2,78192028108261i</v>
      </c>
      <c r="R171" s="4">
        <f t="shared" si="171"/>
        <v>2.95619357456489</v>
      </c>
      <c r="S171" s="4">
        <f t="shared" si="172"/>
        <v>1.22571539259003</v>
      </c>
      <c r="T171" s="4" t="str">
        <f t="shared" si="161"/>
        <v>1+0,0333830433729914i</v>
      </c>
      <c r="U171" s="4">
        <f t="shared" si="173"/>
        <v>1.00055705863526</v>
      </c>
      <c r="V171" s="4">
        <f t="shared" si="174"/>
        <v>0.0333706506636026</v>
      </c>
      <c r="W171" t="str">
        <f t="shared" si="162"/>
        <v>1-0,0465723261341955i</v>
      </c>
      <c r="X171" s="4">
        <f t="shared" si="175"/>
        <v>1.00108390335753</v>
      </c>
      <c r="Y171" s="4">
        <f t="shared" si="176"/>
        <v>-0.0465386983805914</v>
      </c>
      <c r="Z171" t="str">
        <f t="shared" si="163"/>
        <v>0,999999062731738+0,0124265285358647i</v>
      </c>
      <c r="AA171" s="4">
        <f t="shared" si="177"/>
        <v>1.00007626912941</v>
      </c>
      <c r="AB171" s="4">
        <f t="shared" si="178"/>
        <v>0.0124259006112301</v>
      </c>
      <c r="AC171" s="67" t="str">
        <f t="shared" si="179"/>
        <v>6,38465236407891-19,299466432867i</v>
      </c>
      <c r="AD171" s="68">
        <f t="shared" si="180"/>
        <v>26.1619519627014</v>
      </c>
      <c r="AE171" s="31">
        <f t="shared" si="181"/>
        <v>-71.6947440999123</v>
      </c>
      <c r="AF171" s="32" t="str">
        <f t="shared" si="182"/>
        <v>326,048966736478</v>
      </c>
      <c r="AG171" s="32" t="str">
        <f t="shared" si="164"/>
        <v>1+1,78837732355311i</v>
      </c>
      <c r="AH171" s="32">
        <f t="shared" si="183"/>
        <v>2.04897375566379</v>
      </c>
      <c r="AI171" s="32">
        <f t="shared" si="184"/>
        <v>1.06094303953559</v>
      </c>
      <c r="AJ171" s="32" t="str">
        <f t="shared" si="165"/>
        <v>1+0,0333830433729914i</v>
      </c>
      <c r="AK171" s="32">
        <f t="shared" si="185"/>
        <v>1.00055705863526</v>
      </c>
      <c r="AL171" s="32">
        <f t="shared" si="186"/>
        <v>0.0333706506636026</v>
      </c>
      <c r="AM171" s="32" t="str">
        <f t="shared" si="166"/>
        <v>1-0,00550936427720026i</v>
      </c>
      <c r="AN171" s="32">
        <f t="shared" si="187"/>
        <v>1.00001517643221</v>
      </c>
      <c r="AO171" s="32">
        <f t="shared" si="188"/>
        <v>-0.00550930853613012</v>
      </c>
      <c r="AP171" s="30" t="str">
        <f t="shared" si="189"/>
        <v>81,5479051358524-136,750240059892i</v>
      </c>
      <c r="AQ171" s="32">
        <f t="shared" si="190"/>
        <v>44.0398976721296</v>
      </c>
      <c r="AR171" s="31">
        <f t="shared" si="191"/>
        <v>-59.1912211536965</v>
      </c>
      <c r="AS171" t="str">
        <f t="shared" si="167"/>
        <v>-0,000100699300699301</v>
      </c>
      <c r="AT171" t="str">
        <f t="shared" si="168"/>
        <v>0,000478390934050456i</v>
      </c>
      <c r="AU171">
        <f t="shared" si="192"/>
        <v>0.000478390934050456</v>
      </c>
      <c r="AV171">
        <f t="shared" si="193"/>
        <v>1.5707963267949</v>
      </c>
      <c r="AW171" t="str">
        <f t="shared" si="169"/>
        <v>1+0,0244927383674783i</v>
      </c>
      <c r="AX171">
        <f t="shared" si="194"/>
        <v>1.00029990214572</v>
      </c>
      <c r="AY171">
        <f t="shared" si="195"/>
        <v>0.0244878424454152</v>
      </c>
      <c r="AZ171" t="str">
        <f t="shared" si="170"/>
        <v>1+1,17096134280263i</v>
      </c>
      <c r="BA171">
        <f t="shared" si="196"/>
        <v>1.53985404059545</v>
      </c>
      <c r="BB171">
        <f t="shared" si="197"/>
        <v>0.863985122616545</v>
      </c>
      <c r="BC171" s="30" t="str">
        <f t="shared" si="198"/>
        <v>-0,241182186175631+0,216403050487468i</v>
      </c>
      <c r="BD171" s="32">
        <f t="shared" si="199"/>
        <v>-9.78814311012825</v>
      </c>
      <c r="BE171" s="31">
        <f t="shared" si="200"/>
        <v>138.099651066517</v>
      </c>
      <c r="BF171" s="30" t="str">
        <f t="shared" si="201"/>
        <v>2,63659899371295+6,03634575419077i</v>
      </c>
      <c r="BG171" s="68">
        <f t="shared" si="202"/>
        <v>16.3738088525732</v>
      </c>
      <c r="BH171" s="31">
        <f t="shared" si="203"/>
        <v>66.4049069666051</v>
      </c>
      <c r="BI171" s="30" t="str">
        <f t="shared" si="156"/>
        <v>9,92526706514633+50,6289372899482i</v>
      </c>
      <c r="BJ171" s="68">
        <f t="shared" si="204"/>
        <v>34.2517545620014</v>
      </c>
      <c r="BK171" s="31">
        <f t="shared" si="157"/>
        <v>78.9084299128208</v>
      </c>
      <c r="BL171" s="32">
        <f t="shared" si="205"/>
        <v>16.3738088525732</v>
      </c>
      <c r="BM171" s="31">
        <f t="shared" si="206"/>
        <v>66.4049069666051</v>
      </c>
      <c r="BO171">
        <f t="shared" si="207"/>
        <v>0</v>
      </c>
      <c r="BP171">
        <f t="shared" si="208"/>
        <v>0</v>
      </c>
    </row>
    <row r="172" spans="14:68">
      <c r="N172" s="7">
        <v>54</v>
      </c>
      <c r="O172" s="18">
        <f t="shared" si="158"/>
        <v>346.736850452532</v>
      </c>
      <c r="P172" s="86" t="str">
        <f t="shared" si="159"/>
        <v>60</v>
      </c>
      <c r="Q172" s="4" t="str">
        <f t="shared" si="160"/>
        <v>1+2,84671952871553i</v>
      </c>
      <c r="R172" s="4">
        <f t="shared" si="171"/>
        <v>3.01725240494897</v>
      </c>
      <c r="S172" s="4">
        <f t="shared" si="172"/>
        <v>1.23298028643679</v>
      </c>
      <c r="T172" s="4" t="str">
        <f t="shared" si="161"/>
        <v>1+0,0341606343445864i</v>
      </c>
      <c r="U172" s="4">
        <f t="shared" si="173"/>
        <v>1.00058330434743</v>
      </c>
      <c r="V172" s="4">
        <f t="shared" si="174"/>
        <v>0.03414735573529</v>
      </c>
      <c r="W172" t="str">
        <f t="shared" si="162"/>
        <v>1-0,0476571349673359i</v>
      </c>
      <c r="X172" s="4">
        <f t="shared" si="175"/>
        <v>1.00113495719273</v>
      </c>
      <c r="Y172" s="4">
        <f t="shared" si="176"/>
        <v>-0.0476211043860161</v>
      </c>
      <c r="Z172" t="str">
        <f t="shared" si="163"/>
        <v>0,999999018559645+0,0127159795691271i</v>
      </c>
      <c r="AA172" s="4">
        <f t="shared" si="177"/>
        <v>1.00007986343924</v>
      </c>
      <c r="AB172" s="4">
        <f t="shared" si="178"/>
        <v>0.0127153067386607</v>
      </c>
      <c r="AC172" s="67" t="str">
        <f t="shared" si="179"/>
        <v>6,10708283140217-18,9588906933038i</v>
      </c>
      <c r="AD172" s="68">
        <f t="shared" si="180"/>
        <v>25.9850160708457</v>
      </c>
      <c r="AE172" s="31">
        <f t="shared" si="181"/>
        <v>-72.1450889789055</v>
      </c>
      <c r="AF172" s="32" t="str">
        <f t="shared" si="182"/>
        <v>326,048966736478</v>
      </c>
      <c r="AG172" s="32" t="str">
        <f t="shared" si="164"/>
        <v>1+1,8300339827457i</v>
      </c>
      <c r="AH172" s="32">
        <f t="shared" si="183"/>
        <v>2.08543146087425</v>
      </c>
      <c r="AI172" s="32">
        <f t="shared" si="184"/>
        <v>1.07069201550345</v>
      </c>
      <c r="AJ172" s="32" t="str">
        <f t="shared" si="165"/>
        <v>1+0,0341606343445864i</v>
      </c>
      <c r="AK172" s="32">
        <f t="shared" si="185"/>
        <v>1.00058330434743</v>
      </c>
      <c r="AL172" s="32">
        <f t="shared" si="186"/>
        <v>0.03414735573529</v>
      </c>
      <c r="AM172" s="32" t="str">
        <f t="shared" si="166"/>
        <v>1-0,00563769385678093i</v>
      </c>
      <c r="AN172" s="32">
        <f t="shared" si="187"/>
        <v>1.00001589166974</v>
      </c>
      <c r="AO172" s="32">
        <f t="shared" si="188"/>
        <v>-0.00563763412919944</v>
      </c>
      <c r="AP172" s="30" t="str">
        <f t="shared" si="189"/>
        <v>78,8983499647162-135,086786343659i</v>
      </c>
      <c r="AQ172" s="32">
        <f t="shared" si="190"/>
        <v>43.886941216593</v>
      </c>
      <c r="AR172" s="31">
        <f t="shared" si="191"/>
        <v>-59.7126469235813</v>
      </c>
      <c r="AS172" t="str">
        <f t="shared" si="167"/>
        <v>-0,000100699300699301</v>
      </c>
      <c r="AT172" t="str">
        <f t="shared" si="168"/>
        <v>0,000489534090384475i</v>
      </c>
      <c r="AU172">
        <f t="shared" si="192"/>
        <v>0.000489534090384475</v>
      </c>
      <c r="AV172">
        <f t="shared" si="193"/>
        <v>1.5707963267949</v>
      </c>
      <c r="AW172" t="str">
        <f t="shared" si="169"/>
        <v>1+0,0250632475332064i</v>
      </c>
      <c r="AX172">
        <f t="shared" si="194"/>
        <v>1.00031403387982</v>
      </c>
      <c r="AY172">
        <f t="shared" si="195"/>
        <v>0.0250580015471436</v>
      </c>
      <c r="AZ172" t="str">
        <f t="shared" si="170"/>
        <v>1+1,19823653632159i</v>
      </c>
      <c r="BA172">
        <f t="shared" si="196"/>
        <v>1.56069561317252</v>
      </c>
      <c r="BB172">
        <f t="shared" si="197"/>
        <v>0.875334692356383</v>
      </c>
      <c r="BC172" s="30" t="str">
        <f t="shared" si="198"/>
        <v>-0,241175371718703+0,211749006085868i</v>
      </c>
      <c r="BD172" s="32">
        <f t="shared" si="199"/>
        <v>-9.87149276527375</v>
      </c>
      <c r="BE172" s="31">
        <f t="shared" si="200"/>
        <v>138.717265801719</v>
      </c>
      <c r="BF172" s="30" t="str">
        <f t="shared" si="201"/>
        <v>2,54164828881736+5,86558622996528i</v>
      </c>
      <c r="BG172" s="68">
        <f t="shared" si="202"/>
        <v>16.1135233055719</v>
      </c>
      <c r="BH172" s="31">
        <f t="shared" si="203"/>
        <v>66.5721768228139</v>
      </c>
      <c r="BI172" s="30" t="str">
        <f t="shared" si="156"/>
        <v>9,57615386287105+49,2862530975606i</v>
      </c>
      <c r="BJ172" s="68">
        <f t="shared" si="204"/>
        <v>34.0154484513192</v>
      </c>
      <c r="BK172" s="31">
        <f t="shared" si="157"/>
        <v>79.0046188781381</v>
      </c>
      <c r="BL172" s="32">
        <f t="shared" si="205"/>
        <v>16.1135233055719</v>
      </c>
      <c r="BM172" s="31">
        <f t="shared" si="206"/>
        <v>66.5721768228139</v>
      </c>
      <c r="BO172">
        <f t="shared" si="207"/>
        <v>0</v>
      </c>
      <c r="BP172">
        <f t="shared" si="208"/>
        <v>0</v>
      </c>
    </row>
    <row r="173" spans="14:68">
      <c r="N173" s="7">
        <v>55</v>
      </c>
      <c r="O173" s="18">
        <f t="shared" si="158"/>
        <v>354.813389233576</v>
      </c>
      <c r="P173" s="86" t="str">
        <f t="shared" si="159"/>
        <v>60</v>
      </c>
      <c r="Q173" s="4" t="str">
        <f t="shared" si="160"/>
        <v>1+2,91302814472339i</v>
      </c>
      <c r="R173" s="4">
        <f t="shared" si="171"/>
        <v>3.07989171432221</v>
      </c>
      <c r="S173" s="4">
        <f t="shared" si="172"/>
        <v>1.24011582174183</v>
      </c>
      <c r="T173" s="4" t="str">
        <f t="shared" si="161"/>
        <v>1+0,0349563377366807i</v>
      </c>
      <c r="U173" s="4">
        <f t="shared" si="173"/>
        <v>1.00061078624406</v>
      </c>
      <c r="V173" s="4">
        <f t="shared" si="174"/>
        <v>0.0349421099195054</v>
      </c>
      <c r="W173" t="str">
        <f t="shared" si="162"/>
        <v>1-0,0487672122442531i</v>
      </c>
      <c r="X173" s="4">
        <f t="shared" si="175"/>
        <v>1.00118841433073</v>
      </c>
      <c r="Y173" s="4">
        <f t="shared" si="176"/>
        <v>-0.0487286072554351</v>
      </c>
      <c r="Z173" t="str">
        <f t="shared" si="163"/>
        <v>0,999998972305786+0,013012172783073i</v>
      </c>
      <c r="AA173" s="4">
        <f t="shared" si="177"/>
        <v>1.00008362712983</v>
      </c>
      <c r="AB173" s="4">
        <f t="shared" si="178"/>
        <v>0.0130114518354949</v>
      </c>
      <c r="AC173" s="67" t="str">
        <f t="shared" si="179"/>
        <v>5,83930862704708-18,6205139264693i</v>
      </c>
      <c r="AD173" s="68">
        <f t="shared" si="180"/>
        <v>25.8072096224773</v>
      </c>
      <c r="AE173" s="31">
        <f t="shared" si="181"/>
        <v>-72.5888120803335</v>
      </c>
      <c r="AF173" s="32" t="str">
        <f t="shared" si="182"/>
        <v>326,048966736478</v>
      </c>
      <c r="AG173" s="32" t="str">
        <f t="shared" si="164"/>
        <v>1+1,87266095017932i</v>
      </c>
      <c r="AH173" s="32">
        <f t="shared" si="183"/>
        <v>2.12293641787184</v>
      </c>
      <c r="AI173" s="32">
        <f t="shared" si="184"/>
        <v>1.08032050673823</v>
      </c>
      <c r="AJ173" s="32" t="str">
        <f t="shared" si="165"/>
        <v>1+0,0349563377366807i</v>
      </c>
      <c r="AK173" s="32">
        <f t="shared" si="185"/>
        <v>1.00061078624406</v>
      </c>
      <c r="AL173" s="32">
        <f t="shared" si="186"/>
        <v>0.0349421099195054</v>
      </c>
      <c r="AM173" s="32" t="str">
        <f t="shared" si="166"/>
        <v>1-0,00576901261626821i</v>
      </c>
      <c r="AN173" s="32">
        <f t="shared" si="187"/>
        <v>1.00001664061483</v>
      </c>
      <c r="AO173" s="32">
        <f t="shared" si="188"/>
        <v>-0.00576894861706911</v>
      </c>
      <c r="AP173" s="30" t="str">
        <f t="shared" si="189"/>
        <v>76,3138782451386-133,393522549098i</v>
      </c>
      <c r="AQ173" s="32">
        <f t="shared" si="190"/>
        <v>43.7323649606031</v>
      </c>
      <c r="AR173" s="31">
        <f t="shared" si="191"/>
        <v>-60.226306539851</v>
      </c>
      <c r="AS173" t="str">
        <f t="shared" si="167"/>
        <v>-0,000100699300699301</v>
      </c>
      <c r="AT173" t="str">
        <f t="shared" si="168"/>
        <v>0,000500936804172967i</v>
      </c>
      <c r="AU173">
        <f t="shared" si="192"/>
        <v>0.000500936804172967</v>
      </c>
      <c r="AV173">
        <f t="shared" si="193"/>
        <v>1.5707963267949</v>
      </c>
      <c r="AW173" t="str">
        <f t="shared" si="169"/>
        <v>1+0,0256470455645281i</v>
      </c>
      <c r="AX173">
        <f t="shared" si="194"/>
        <v>1.00032883140805</v>
      </c>
      <c r="AY173">
        <f t="shared" si="195"/>
        <v>0.0256414244889802</v>
      </c>
      <c r="AZ173" t="str">
        <f t="shared" si="170"/>
        <v>1+1,22614705071265i</v>
      </c>
      <c r="BA173">
        <f t="shared" si="196"/>
        <v>1.58222520204026</v>
      </c>
      <c r="BB173">
        <f t="shared" si="197"/>
        <v>0.886637610450136</v>
      </c>
      <c r="BC173" s="30" t="str">
        <f t="shared" si="198"/>
        <v>-0,241168236519031+0,207207217718043i</v>
      </c>
      <c r="BD173" s="32">
        <f t="shared" si="199"/>
        <v>-9.95261949130615</v>
      </c>
      <c r="BE173" s="31">
        <f t="shared" si="200"/>
        <v>139.331447632435</v>
      </c>
      <c r="BF173" s="30" t="str">
        <f t="shared" si="201"/>
        <v>2,45004911910847+5,70062340073205i</v>
      </c>
      <c r="BG173" s="68">
        <f t="shared" si="202"/>
        <v>15.8545901311712</v>
      </c>
      <c r="BH173" s="31">
        <f t="shared" si="203"/>
        <v>66.7426355521018</v>
      </c>
      <c r="BI173" s="30" t="str">
        <f t="shared" si="156"/>
        <v>9,23561723069951+47,9830669806762i</v>
      </c>
      <c r="BJ173" s="68">
        <f t="shared" si="204"/>
        <v>33.779745469297</v>
      </c>
      <c r="BK173" s="31">
        <f t="shared" si="157"/>
        <v>79.1051410925843</v>
      </c>
      <c r="BL173" s="32">
        <f t="shared" si="205"/>
        <v>15.8545901311712</v>
      </c>
      <c r="BM173" s="31">
        <f t="shared" si="206"/>
        <v>66.7426355521018</v>
      </c>
      <c r="BO173">
        <f t="shared" si="207"/>
        <v>0</v>
      </c>
      <c r="BP173">
        <f t="shared" si="208"/>
        <v>0</v>
      </c>
    </row>
    <row r="174" spans="14:68">
      <c r="N174" s="7">
        <v>56</v>
      </c>
      <c r="O174" s="18">
        <f t="shared" si="158"/>
        <v>363.078054770102</v>
      </c>
      <c r="P174" s="86" t="str">
        <f t="shared" si="159"/>
        <v>60</v>
      </c>
      <c r="Q174" s="4" t="str">
        <f t="shared" si="160"/>
        <v>1+2,98088128681204i</v>
      </c>
      <c r="R174" s="4">
        <f t="shared" si="171"/>
        <v>3.14414586908213</v>
      </c>
      <c r="S174" s="4">
        <f t="shared" si="172"/>
        <v>1.24712287443547</v>
      </c>
      <c r="T174" s="4" t="str">
        <f t="shared" si="161"/>
        <v>1+0,0357705754417446i</v>
      </c>
      <c r="U174" s="4">
        <f t="shared" si="173"/>
        <v>1.00063956251361</v>
      </c>
      <c r="V174" s="4">
        <f t="shared" si="174"/>
        <v>0.0357553305871909</v>
      </c>
      <c r="W174" t="str">
        <f t="shared" si="162"/>
        <v>1-0,0499031465426124i</v>
      </c>
      <c r="X174" s="4">
        <f t="shared" si="175"/>
        <v>1.00124438776697</v>
      </c>
      <c r="Y174" s="4">
        <f t="shared" si="176"/>
        <v>-0.0498617833279792</v>
      </c>
      <c r="Z174" t="str">
        <f t="shared" si="163"/>
        <v>0,99999892387205+0,013315265223265i</v>
      </c>
      <c r="AA174" s="4">
        <f t="shared" si="177"/>
        <v>1.00008756818252</v>
      </c>
      <c r="AB174" s="4">
        <f t="shared" si="178"/>
        <v>0.0133144927176701</v>
      </c>
      <c r="AC174" s="67" t="str">
        <f t="shared" si="179"/>
        <v>5,58108918344823-18,2845710516129i</v>
      </c>
      <c r="AD174" s="68">
        <f t="shared" si="180"/>
        <v>25.6285659937675</v>
      </c>
      <c r="AE174" s="31">
        <f t="shared" si="181"/>
        <v>-73.0259816844044</v>
      </c>
      <c r="AF174" s="32" t="str">
        <f t="shared" si="182"/>
        <v>326,048966736478</v>
      </c>
      <c r="AG174" s="32" t="str">
        <f t="shared" si="164"/>
        <v>1+1,91628082723631i</v>
      </c>
      <c r="AH174" s="32">
        <f t="shared" si="183"/>
        <v>2.16151155648853</v>
      </c>
      <c r="AI174" s="32">
        <f t="shared" si="184"/>
        <v>1.08982647650911</v>
      </c>
      <c r="AJ174" s="32" t="str">
        <f t="shared" si="165"/>
        <v>1+0,0357705754417446i</v>
      </c>
      <c r="AK174" s="32">
        <f t="shared" si="185"/>
        <v>1.00063956251361</v>
      </c>
      <c r="AL174" s="32">
        <f t="shared" si="186"/>
        <v>0.0357553305871909</v>
      </c>
      <c r="AM174" s="32" t="str">
        <f t="shared" si="166"/>
        <v>1-0,00590339018260651i</v>
      </c>
      <c r="AN174" s="32">
        <f t="shared" si="187"/>
        <v>1.00001742485601</v>
      </c>
      <c r="AO174" s="32">
        <f t="shared" si="188"/>
        <v>-0.00590332160629369</v>
      </c>
      <c r="AP174" s="30" t="str">
        <f t="shared" si="189"/>
        <v>73,7947602938732-131,67331940858i</v>
      </c>
      <c r="AQ174" s="32">
        <f t="shared" si="190"/>
        <v>43.5762100712384</v>
      </c>
      <c r="AR174" s="31">
        <f t="shared" si="191"/>
        <v>-60.7320633809934</v>
      </c>
      <c r="AS174" t="str">
        <f t="shared" si="167"/>
        <v>-0,000100699300699301</v>
      </c>
      <c r="AT174" t="str">
        <f t="shared" si="168"/>
        <v>0,000512605121285714i</v>
      </c>
      <c r="AU174">
        <f t="shared" si="192"/>
        <v>0.000512605121285714</v>
      </c>
      <c r="AV174">
        <f t="shared" si="193"/>
        <v>1.5707963267949</v>
      </c>
      <c r="AW174" t="str">
        <f t="shared" si="169"/>
        <v>1+0,0262444419988867i</v>
      </c>
      <c r="AX174">
        <f t="shared" si="194"/>
        <v>1.00034432608769</v>
      </c>
      <c r="AY174">
        <f t="shared" si="195"/>
        <v>0.0262384190198861</v>
      </c>
      <c r="AZ174" t="str">
        <f t="shared" si="170"/>
        <v>1+1,25470768449997i</v>
      </c>
      <c r="BA174">
        <f t="shared" si="196"/>
        <v>1.60445983855729</v>
      </c>
      <c r="BB174">
        <f t="shared" si="197"/>
        <v>0.897888318477585</v>
      </c>
      <c r="BC174" s="30" t="str">
        <f t="shared" si="198"/>
        <v>-0,24116076550025+0,202775276118321i</v>
      </c>
      <c r="BD174" s="32">
        <f t="shared" si="199"/>
        <v>-10.0315429728357</v>
      </c>
      <c r="BE174" s="31">
        <f t="shared" si="200"/>
        <v>139.941860451929</v>
      </c>
      <c r="BF174" s="30" t="str">
        <f t="shared" si="201"/>
        <v>2,36171920389032+5,54122805186537i</v>
      </c>
      <c r="BG174" s="68">
        <f t="shared" si="202"/>
        <v>15.5970230209319</v>
      </c>
      <c r="BH174" s="31">
        <f t="shared" si="203"/>
        <v>66.9158787675245</v>
      </c>
      <c r="BI174" s="30" t="str">
        <f t="shared" si="156"/>
        <v>8,90369281811277+46,7181913992075i</v>
      </c>
      <c r="BJ174" s="68">
        <f t="shared" si="204"/>
        <v>33.5446670984028</v>
      </c>
      <c r="BK174" s="31">
        <f t="shared" si="157"/>
        <v>79.2097970709354</v>
      </c>
      <c r="BL174" s="32">
        <f t="shared" si="205"/>
        <v>15.5970230209319</v>
      </c>
      <c r="BM174" s="31">
        <f t="shared" si="206"/>
        <v>66.9158787675245</v>
      </c>
      <c r="BO174">
        <f t="shared" si="207"/>
        <v>0</v>
      </c>
      <c r="BP174">
        <f t="shared" si="208"/>
        <v>0</v>
      </c>
    </row>
    <row r="175" spans="14:68">
      <c r="N175" s="7">
        <v>57</v>
      </c>
      <c r="O175" s="18">
        <f t="shared" si="158"/>
        <v>371.535229097173</v>
      </c>
      <c r="P175" s="86" t="str">
        <f t="shared" si="159"/>
        <v>60</v>
      </c>
      <c r="Q175" s="4" t="str">
        <f t="shared" si="160"/>
        <v>1+3,0503149316156i</v>
      </c>
      <c r="R175" s="4">
        <f t="shared" si="171"/>
        <v>3.21005002796484</v>
      </c>
      <c r="S175" s="4">
        <f t="shared" si="172"/>
        <v>1.2540024065424</v>
      </c>
      <c r="T175" s="4" t="str">
        <f t="shared" si="161"/>
        <v>1+0,0366037791793872i</v>
      </c>
      <c r="U175" s="4">
        <f t="shared" si="173"/>
        <v>1.00066969408003</v>
      </c>
      <c r="V175" s="4">
        <f t="shared" si="174"/>
        <v>0.0365874446138073</v>
      </c>
      <c r="W175" t="str">
        <f t="shared" si="162"/>
        <v>1-0,0510655401498148i</v>
      </c>
      <c r="X175" s="4">
        <f t="shared" si="175"/>
        <v>1.00130299579637</v>
      </c>
      <c r="Y175" s="4">
        <f t="shared" si="176"/>
        <v>-0.0510212217812063</v>
      </c>
      <c r="Z175" t="str">
        <f t="shared" si="163"/>
        <v>0,999998873155702+0,0136254175933267i</v>
      </c>
      <c r="AA175" s="4">
        <f t="shared" si="177"/>
        <v>1.00009169495465</v>
      </c>
      <c r="AB175" s="4">
        <f t="shared" si="178"/>
        <v>0.0136245898427671</v>
      </c>
      <c r="AC175" s="67" t="str">
        <f t="shared" si="179"/>
        <v>5,33218125214068-17,9512806468081i</v>
      </c>
      <c r="AD175" s="68">
        <f t="shared" si="180"/>
        <v>25.4491178275994</v>
      </c>
      <c r="AE175" s="31">
        <f t="shared" si="181"/>
        <v>-73.4566714038395</v>
      </c>
      <c r="AF175" s="32" t="str">
        <f t="shared" si="182"/>
        <v>326,048966736478</v>
      </c>
      <c r="AG175" s="32" t="str">
        <f t="shared" si="164"/>
        <v>1+1,96091674175289i</v>
      </c>
      <c r="AH175" s="32">
        <f t="shared" si="183"/>
        <v>2.2011802443432</v>
      </c>
      <c r="AI175" s="32">
        <f t="shared" si="184"/>
        <v>1.09920809222665</v>
      </c>
      <c r="AJ175" s="32" t="str">
        <f t="shared" si="165"/>
        <v>1+0,0366037791793872i</v>
      </c>
      <c r="AK175" s="32">
        <f t="shared" si="185"/>
        <v>1.00066969408003</v>
      </c>
      <c r="AL175" s="32">
        <f t="shared" si="186"/>
        <v>0.0365874446138073</v>
      </c>
      <c r="AM175" s="32" t="str">
        <f t="shared" si="166"/>
        <v>1-0,00604089780456024i</v>
      </c>
      <c r="AN175" s="32">
        <f t="shared" si="187"/>
        <v>1.00001824605668</v>
      </c>
      <c r="AO175" s="32">
        <f t="shared" si="188"/>
        <v>-0.00604082432378958</v>
      </c>
      <c r="AP175" s="30" t="str">
        <f t="shared" si="189"/>
        <v>71,3411179132263-129,928996598661i</v>
      </c>
      <c r="AQ175" s="32">
        <f t="shared" si="190"/>
        <v>43.4185178616874</v>
      </c>
      <c r="AR175" s="31">
        <f t="shared" si="191"/>
        <v>-61.2297920702075</v>
      </c>
      <c r="AS175" t="str">
        <f t="shared" si="167"/>
        <v>-0,000100699300699301</v>
      </c>
      <c r="AT175" t="str">
        <f t="shared" si="168"/>
        <v>0,000524545228418897i</v>
      </c>
      <c r="AU175">
        <f t="shared" si="192"/>
        <v>0.000524545228418897</v>
      </c>
      <c r="AV175">
        <f t="shared" si="193"/>
        <v>1.5707963267949</v>
      </c>
      <c r="AW175" t="str">
        <f t="shared" si="169"/>
        <v>1+0,0268557535837795i</v>
      </c>
      <c r="AX175">
        <f t="shared" si="194"/>
        <v>1.00036055075185</v>
      </c>
      <c r="AY175">
        <f t="shared" si="195"/>
        <v>0.0268492999711267</v>
      </c>
      <c r="AZ175" t="str">
        <f t="shared" si="170"/>
        <v>1+1,28393358090963i</v>
      </c>
      <c r="BA175">
        <f t="shared" si="196"/>
        <v>1.62741679977424</v>
      </c>
      <c r="BB175">
        <f t="shared" si="197"/>
        <v>0.909081389603956</v>
      </c>
      <c r="BC175" s="30" t="str">
        <f t="shared" si="198"/>
        <v>-0,241152942879301+0,198450830181224i</v>
      </c>
      <c r="BD175" s="32">
        <f t="shared" si="199"/>
        <v>-10.1082849647173</v>
      </c>
      <c r="BE175" s="31">
        <f t="shared" si="200"/>
        <v>140.548175286968</v>
      </c>
      <c r="BF175" s="30" t="str">
        <f t="shared" si="201"/>
        <v>2,27657534625565+5,38717995259409i</v>
      </c>
      <c r="BG175" s="68">
        <f t="shared" si="202"/>
        <v>15.3408328628821</v>
      </c>
      <c r="BH175" s="31">
        <f t="shared" si="203"/>
        <v>67.0915038831289</v>
      </c>
      <c r="BI175" s="30" t="str">
        <f t="shared" si="156"/>
        <v>8,58039670654397+45,4904639710581i</v>
      </c>
      <c r="BJ175" s="68">
        <f t="shared" si="204"/>
        <v>33.3102328969701</v>
      </c>
      <c r="BK175" s="31">
        <f t="shared" si="157"/>
        <v>79.3183832167609</v>
      </c>
      <c r="BL175" s="32">
        <f t="shared" si="205"/>
        <v>15.3408328628821</v>
      </c>
      <c r="BM175" s="31">
        <f t="shared" si="206"/>
        <v>67.0915038831289</v>
      </c>
      <c r="BO175">
        <f t="shared" si="207"/>
        <v>0</v>
      </c>
      <c r="BP175">
        <f t="shared" si="208"/>
        <v>0</v>
      </c>
    </row>
    <row r="176" spans="14:68">
      <c r="N176" s="7">
        <v>58</v>
      </c>
      <c r="O176" s="18">
        <f t="shared" si="158"/>
        <v>380.189396320562</v>
      </c>
      <c r="P176" s="86" t="str">
        <f t="shared" si="159"/>
        <v>60</v>
      </c>
      <c r="Q176" s="4" t="str">
        <f t="shared" si="160"/>
        <v>1+3,12136589377159i</v>
      </c>
      <c r="R176" s="4">
        <f t="shared" si="171"/>
        <v>3.27764016371543</v>
      </c>
      <c r="S176" s="4">
        <f t="shared" si="172"/>
        <v>1.26075546004808</v>
      </c>
      <c r="T176" s="4" t="str">
        <f t="shared" si="161"/>
        <v>1+0,0374563907252591i</v>
      </c>
      <c r="U176" s="4">
        <f t="shared" si="173"/>
        <v>1.000701244731</v>
      </c>
      <c r="V176" s="4">
        <f t="shared" si="174"/>
        <v>0.0374388885852565</v>
      </c>
      <c r="W176" t="str">
        <f t="shared" si="162"/>
        <v>1-0,0522550093823369i</v>
      </c>
      <c r="X176" s="4">
        <f t="shared" si="175"/>
        <v>1.00136436226059</v>
      </c>
      <c r="Y176" s="4">
        <f t="shared" si="176"/>
        <v>-0.0522075248886098</v>
      </c>
      <c r="Z176" t="str">
        <f t="shared" si="163"/>
        <v>0,999998820049167+0,0139427943401501i</v>
      </c>
      <c r="AA176" s="4">
        <f t="shared" si="177"/>
        <v>1.00009601619731</v>
      </c>
      <c r="AB176" s="4">
        <f t="shared" si="178"/>
        <v>0.0139419073940443</v>
      </c>
      <c r="AC176" s="67" t="str">
        <f t="shared" si="179"/>
        <v>5,09233977367195-17,620845398268i</v>
      </c>
      <c r="AD176" s="68">
        <f t="shared" si="180"/>
        <v>25.2688970292269</v>
      </c>
      <c r="AE176" s="31">
        <f t="shared" si="181"/>
        <v>-73.8809598402164</v>
      </c>
      <c r="AF176" s="32" t="str">
        <f t="shared" si="182"/>
        <v>326,048966736478</v>
      </c>
      <c r="AG176" s="32" t="str">
        <f t="shared" si="164"/>
        <v>1+2,00659236028174i</v>
      </c>
      <c r="AH176" s="32">
        <f t="shared" si="183"/>
        <v>2.24196630223138</v>
      </c>
      <c r="AI176" s="32">
        <f t="shared" si="184"/>
        <v>1.10846372149918</v>
      </c>
      <c r="AJ176" s="32" t="str">
        <f t="shared" si="165"/>
        <v>1+0,0374563907252591i</v>
      </c>
      <c r="AK176" s="32">
        <f t="shared" si="185"/>
        <v>1.000701244731</v>
      </c>
      <c r="AL176" s="32">
        <f t="shared" si="186"/>
        <v>0.0374388885852565</v>
      </c>
      <c r="AM176" s="32" t="str">
        <f t="shared" si="166"/>
        <v>1-0,00618160839049068i</v>
      </c>
      <c r="AN176" s="32">
        <f t="shared" si="187"/>
        <v>1.00001910595863</v>
      </c>
      <c r="AO176" s="32">
        <f t="shared" si="188"/>
        <v>-0.0061815296545076</v>
      </c>
      <c r="AP176" s="30" t="str">
        <f t="shared" si="189"/>
        <v>68,9529314808318-128,163315063308i</v>
      </c>
      <c r="AQ176" s="32">
        <f t="shared" si="190"/>
        <v>43.259329702026</v>
      </c>
      <c r="AR176" s="31">
        <f t="shared" si="191"/>
        <v>-61.7193782398101</v>
      </c>
      <c r="AS176" t="str">
        <f t="shared" si="167"/>
        <v>-0,000100699300699301</v>
      </c>
      <c r="AT176" t="str">
        <f t="shared" si="168"/>
        <v>0,000536763456375365i</v>
      </c>
      <c r="AU176">
        <f t="shared" si="192"/>
        <v>0.000536763456375365</v>
      </c>
      <c r="AV176">
        <f t="shared" si="193"/>
        <v>1.5707963267949</v>
      </c>
      <c r="AW176" t="str">
        <f t="shared" si="169"/>
        <v>1+0,0274813044447003i</v>
      </c>
      <c r="AX176">
        <f t="shared" si="194"/>
        <v>1.00037753977885</v>
      </c>
      <c r="AY176">
        <f t="shared" si="195"/>
        <v>0.0274743894150971</v>
      </c>
      <c r="AZ176" t="str">
        <f t="shared" si="170"/>
        <v>1+1,31384023589876i</v>
      </c>
      <c r="BA176">
        <f t="shared" si="196"/>
        <v>1.65111361373665</v>
      </c>
      <c r="BB176">
        <f t="shared" si="197"/>
        <v>0.920211540550574</v>
      </c>
      <c r="BC176" s="30" t="str">
        <f t="shared" si="198"/>
        <v>-0,241144752133498+0,194231585709038i</v>
      </c>
      <c r="BD176" s="32">
        <f t="shared" si="199"/>
        <v>-10.1828692078335</v>
      </c>
      <c r="BE176" s="31">
        <f t="shared" si="200"/>
        <v>141.150070974596</v>
      </c>
      <c r="BF176" s="30" t="str">
        <f t="shared" si="201"/>
        <v>2,19453373073772+5,23826762515753i</v>
      </c>
      <c r="BG176" s="68">
        <f t="shared" si="202"/>
        <v>15.0860278213934</v>
      </c>
      <c r="BH176" s="31">
        <f t="shared" si="203"/>
        <v>67.2691111343793</v>
      </c>
      <c r="BI176" s="30" t="str">
        <f t="shared" si="156"/>
        <v>8,2657263436501+44,2987480643574i</v>
      </c>
      <c r="BJ176" s="68">
        <f t="shared" si="204"/>
        <v>33.0764604941925</v>
      </c>
      <c r="BK176" s="31">
        <f t="shared" si="157"/>
        <v>79.4306927347855</v>
      </c>
      <c r="BL176" s="32">
        <f t="shared" si="205"/>
        <v>15.0860278213934</v>
      </c>
      <c r="BM176" s="31">
        <f t="shared" si="206"/>
        <v>67.2691111343793</v>
      </c>
      <c r="BO176">
        <f t="shared" si="207"/>
        <v>0</v>
      </c>
      <c r="BP176">
        <f t="shared" si="208"/>
        <v>0</v>
      </c>
    </row>
    <row r="177" spans="14:68">
      <c r="N177" s="7">
        <v>59</v>
      </c>
      <c r="O177" s="18">
        <f t="shared" si="158"/>
        <v>389.045144994281</v>
      </c>
      <c r="P177" s="86" t="str">
        <f t="shared" si="159"/>
        <v>60</v>
      </c>
      <c r="Q177" s="4" t="str">
        <f t="shared" si="160"/>
        <v>1+3,19407184544062i</v>
      </c>
      <c r="R177" s="4">
        <f t="shared" si="171"/>
        <v>3.34695308509642</v>
      </c>
      <c r="S177" s="4">
        <f t="shared" si="172"/>
        <v>1.26738315094211</v>
      </c>
      <c r="T177" s="4" t="str">
        <f t="shared" si="161"/>
        <v>1+0,0383288621452875i</v>
      </c>
      <c r="U177" s="4">
        <f t="shared" si="173"/>
        <v>1.0007342812522</v>
      </c>
      <c r="V177" s="4">
        <f t="shared" si="174"/>
        <v>0.0383101090075021</v>
      </c>
      <c r="W177" t="str">
        <f t="shared" si="162"/>
        <v>1-0,0534721849125105i</v>
      </c>
      <c r="X177" s="4">
        <f t="shared" si="175"/>
        <v>1.00142861680667</v>
      </c>
      <c r="Y177" s="4">
        <f t="shared" si="176"/>
        <v>-0.053421308280203</v>
      </c>
      <c r="Z177" t="str">
        <f t="shared" si="163"/>
        <v>0,999998764439797+0,0142675637410874i</v>
      </c>
      <c r="AA177" s="4">
        <f t="shared" si="177"/>
        <v>1.00010054107386</v>
      </c>
      <c r="AB177" s="4">
        <f t="shared" si="178"/>
        <v>0.0142666133663723</v>
      </c>
      <c r="AC177" s="67" t="str">
        <f t="shared" si="179"/>
        <v>4,86131868565476-17,2934525804523i</v>
      </c>
      <c r="AD177" s="68">
        <f t="shared" si="180"/>
        <v>25.0879347648431</v>
      </c>
      <c r="AE177" s="31">
        <f t="shared" si="181"/>
        <v>-74.2989302505195</v>
      </c>
      <c r="AF177" s="32" t="str">
        <f t="shared" si="182"/>
        <v>326,048966736478</v>
      </c>
      <c r="AG177" s="32" t="str">
        <f t="shared" si="164"/>
        <v>1+2,0533319006404i</v>
      </c>
      <c r="AH177" s="32">
        <f t="shared" si="183"/>
        <v>2.2838940199115</v>
      </c>
      <c r="AI177" s="32">
        <f t="shared" si="184"/>
        <v>1.11759192766613</v>
      </c>
      <c r="AJ177" s="32" t="str">
        <f t="shared" si="165"/>
        <v>1+0,0383288621452875i</v>
      </c>
      <c r="AK177" s="32">
        <f t="shared" si="185"/>
        <v>1.0007342812522</v>
      </c>
      <c r="AL177" s="32">
        <f t="shared" si="186"/>
        <v>0.0383101090075021</v>
      </c>
      <c r="AM177" s="32" t="str">
        <f t="shared" si="166"/>
        <v>1-0,00632559654701303i</v>
      </c>
      <c r="AN177" s="32">
        <f t="shared" si="187"/>
        <v>1.00002000638571</v>
      </c>
      <c r="AO177" s="32">
        <f t="shared" si="188"/>
        <v>-0.0063255121799783</v>
      </c>
      <c r="AP177" s="30" t="str">
        <f t="shared" si="189"/>
        <v>66,630047362549-126,378970110192i</v>
      </c>
      <c r="AQ177" s="32">
        <f t="shared" si="190"/>
        <v>43.0986869345688</v>
      </c>
      <c r="AR177" s="31">
        <f t="shared" si="191"/>
        <v>-62.2007182655143</v>
      </c>
      <c r="AS177" t="str">
        <f t="shared" si="167"/>
        <v>-0,000100699300699301</v>
      </c>
      <c r="AT177" t="str">
        <f t="shared" si="168"/>
        <v>0,000549266283421307i</v>
      </c>
      <c r="AU177">
        <f t="shared" si="192"/>
        <v>0.000549266283421307</v>
      </c>
      <c r="AV177">
        <f t="shared" si="193"/>
        <v>1.5707963267949</v>
      </c>
      <c r="AW177" t="str">
        <f t="shared" si="169"/>
        <v>1+0,0281214262569958i</v>
      </c>
      <c r="AX177">
        <f t="shared" si="194"/>
        <v>1.00039532916479</v>
      </c>
      <c r="AY177">
        <f t="shared" si="195"/>
        <v>0.0281140168274123</v>
      </c>
      <c r="AZ177" t="str">
        <f t="shared" si="170"/>
        <v>1+1,34444350637169i</v>
      </c>
      <c r="BA177">
        <f t="shared" si="196"/>
        <v>1.67556806541095</v>
      </c>
      <c r="BB177">
        <f t="shared" si="197"/>
        <v>0.931273642719585</v>
      </c>
      <c r="BC177" s="30" t="str">
        <f t="shared" si="198"/>
        <v>-0,241136175966063+0,190115304189146i</v>
      </c>
      <c r="BD177" s="32">
        <f t="shared" si="199"/>
        <v>-10.2553213385626</v>
      </c>
      <c r="BE177" s="31">
        <f t="shared" si="200"/>
        <v>141.747234790236</v>
      </c>
      <c r="BF177" s="30" t="str">
        <f t="shared" si="201"/>
        <v>2,1155101998021+5,09428810518435i</v>
      </c>
      <c r="BG177" s="68">
        <f t="shared" si="202"/>
        <v>14.8326134262805</v>
      </c>
      <c r="BH177" s="31">
        <f t="shared" si="203"/>
        <v>67.4483045397164</v>
      </c>
      <c r="BI177" s="30" t="str">
        <f t="shared" si="156"/>
        <v>7,95966152016741+43,1419332973693i</v>
      </c>
      <c r="BJ177" s="68">
        <f t="shared" si="204"/>
        <v>32.8433655960062</v>
      </c>
      <c r="BK177" s="31">
        <f t="shared" si="157"/>
        <v>79.5465165247216</v>
      </c>
      <c r="BL177" s="32">
        <f t="shared" si="205"/>
        <v>14.8326134262805</v>
      </c>
      <c r="BM177" s="31">
        <f t="shared" si="206"/>
        <v>67.4483045397164</v>
      </c>
      <c r="BO177">
        <f t="shared" si="207"/>
        <v>0</v>
      </c>
      <c r="BP177">
        <f t="shared" si="208"/>
        <v>0</v>
      </c>
    </row>
    <row r="178" spans="14:68">
      <c r="N178" s="7">
        <v>60</v>
      </c>
      <c r="O178" s="18">
        <f t="shared" si="158"/>
        <v>398.107170553498</v>
      </c>
      <c r="P178" s="86" t="str">
        <f t="shared" si="159"/>
        <v>60</v>
      </c>
      <c r="Q178" s="4" t="str">
        <f t="shared" si="160"/>
        <v>1+3,26847133628065i</v>
      </c>
      <c r="R178" s="4">
        <f t="shared" si="171"/>
        <v>3.41802645924344</v>
      </c>
      <c r="S178" s="4">
        <f t="shared" si="172"/>
        <v>1.27388666344896</v>
      </c>
      <c r="T178" s="4" t="str">
        <f t="shared" si="161"/>
        <v>1+0,0392216560353678i</v>
      </c>
      <c r="U178" s="4">
        <f t="shared" si="173"/>
        <v>1.0007688735678</v>
      </c>
      <c r="V178" s="4">
        <f t="shared" si="174"/>
        <v>0.0392015625199</v>
      </c>
      <c r="W178" t="str">
        <f t="shared" si="162"/>
        <v>1-0,0547177121029127i</v>
      </c>
      <c r="X178" s="4">
        <f t="shared" si="175"/>
        <v>1.00149589515773</v>
      </c>
      <c r="Y178" s="4">
        <f t="shared" si="176"/>
        <v>-0.0546632012060466</v>
      </c>
      <c r="Z178" t="str">
        <f t="shared" si="163"/>
        <v>0,999998706209639+0,0145998979931737i</v>
      </c>
      <c r="AA178" s="4">
        <f t="shared" si="177"/>
        <v>1.00010527917933</v>
      </c>
      <c r="AB178" s="4">
        <f t="shared" si="178"/>
        <v>0.0145988796541086</v>
      </c>
      <c r="AC178" s="67" t="str">
        <f t="shared" si="179"/>
        <v>4,63887167000238-16,9692745613906i</v>
      </c>
      <c r="AD178" s="68">
        <f t="shared" si="180"/>
        <v>24.9062614628625</v>
      </c>
      <c r="AE178" s="31">
        <f t="shared" si="181"/>
        <v>-74.7106702245</v>
      </c>
      <c r="AF178" s="32" t="str">
        <f t="shared" si="182"/>
        <v>326,048966736478</v>
      </c>
      <c r="AG178" s="32" t="str">
        <f t="shared" si="164"/>
        <v>1+2,10116014475185i</v>
      </c>
      <c r="AH178" s="32">
        <f t="shared" si="183"/>
        <v>2.32698817227196</v>
      </c>
      <c r="AI178" s="32">
        <f t="shared" si="184"/>
        <v>1.12659146486372</v>
      </c>
      <c r="AJ178" s="32" t="str">
        <f t="shared" si="165"/>
        <v>1+0,0392216560353678i</v>
      </c>
      <c r="AK178" s="32">
        <f t="shared" si="185"/>
        <v>1.0007688735678</v>
      </c>
      <c r="AL178" s="32">
        <f t="shared" si="186"/>
        <v>0.0392015625199</v>
      </c>
      <c r="AM178" s="32" t="str">
        <f t="shared" si="166"/>
        <v>1-0,00647293861855378i</v>
      </c>
      <c r="AN178" s="32">
        <f t="shared" si="187"/>
        <v>1.00002094924774</v>
      </c>
      <c r="AO178" s="32">
        <f t="shared" si="188"/>
        <v>-0.00647284821774962</v>
      </c>
      <c r="AP178" s="30" t="str">
        <f t="shared" si="189"/>
        <v>64,3721855709118-124,578585276473i</v>
      </c>
      <c r="AQ178" s="32">
        <f t="shared" si="190"/>
        <v>42.9366307939749</v>
      </c>
      <c r="AR178" s="31">
        <f t="shared" si="191"/>
        <v>-62.6737189737494</v>
      </c>
      <c r="AS178" t="str">
        <f t="shared" si="167"/>
        <v>-0,000100699300699301</v>
      </c>
      <c r="AT178" t="str">
        <f t="shared" si="168"/>
        <v>0,000562060338721118i</v>
      </c>
      <c r="AU178">
        <f t="shared" si="192"/>
        <v>0.000562060338721118</v>
      </c>
      <c r="AV178">
        <f t="shared" si="193"/>
        <v>1.5707963267949</v>
      </c>
      <c r="AW178" t="str">
        <f t="shared" si="169"/>
        <v>1+0,0287764584217238i</v>
      </c>
      <c r="AX178">
        <f t="shared" si="194"/>
        <v>1.00041395659962</v>
      </c>
      <c r="AY178">
        <f t="shared" si="195"/>
        <v>0.0287685192523027</v>
      </c>
      <c r="AZ178" t="str">
        <f t="shared" si="170"/>
        <v>1+1,37575961858752i</v>
      </c>
      <c r="BA178">
        <f t="shared" si="196"/>
        <v>1.70079820323755</v>
      </c>
      <c r="BB178">
        <f t="shared" si="197"/>
        <v>0.942262732425172</v>
      </c>
      <c r="BC178" s="30" t="str">
        <f t="shared" si="198"/>
        <v>-0,241127196270099+0,186099801600429i</v>
      </c>
      <c r="BD178" s="32">
        <f t="shared" si="199"/>
        <v>-10.3256687926632</v>
      </c>
      <c r="BE178" s="31">
        <f t="shared" si="200"/>
        <v>142.339363024429</v>
      </c>
      <c r="BF178" s="30" t="str">
        <f t="shared" si="201"/>
        <v>2,03942050953353+4,95504669516292i</v>
      </c>
      <c r="BG178" s="68">
        <f t="shared" si="202"/>
        <v>14.5805926701993</v>
      </c>
      <c r="BH178" s="31">
        <f t="shared" si="203"/>
        <v>67.6286927999293</v>
      </c>
      <c r="BI178" s="30" t="str">
        <f t="shared" ref="BI178:BI241" si="209">IMPRODUCT(AP178,BC178)</f>
        <v>7,66216537912127+42,0189359463441i</v>
      </c>
      <c r="BJ178" s="68">
        <f t="shared" si="204"/>
        <v>32.6109620013117</v>
      </c>
      <c r="BK178" s="31">
        <f t="shared" ref="BK178:BK241" si="210">(180/PI())*IMARGUMENT(BI178)</f>
        <v>79.6656440506799</v>
      </c>
      <c r="BL178" s="32">
        <f t="shared" si="205"/>
        <v>14.5805926701993</v>
      </c>
      <c r="BM178" s="31">
        <f t="shared" si="206"/>
        <v>67.6286927999293</v>
      </c>
      <c r="BO178">
        <f t="shared" si="207"/>
        <v>0</v>
      </c>
      <c r="BP178">
        <f t="shared" si="208"/>
        <v>0</v>
      </c>
    </row>
    <row r="179" spans="14:68">
      <c r="N179" s="7">
        <v>61</v>
      </c>
      <c r="O179" s="18">
        <f t="shared" si="158"/>
        <v>407.380277804113</v>
      </c>
      <c r="P179" s="86" t="str">
        <f t="shared" si="159"/>
        <v>60</v>
      </c>
      <c r="Q179" s="4" t="str">
        <f t="shared" si="160"/>
        <v>1+3,34460381388649i</v>
      </c>
      <c r="R179" s="4">
        <f t="shared" si="171"/>
        <v>3.49089883437834</v>
      </c>
      <c r="S179" s="4">
        <f t="shared" si="172"/>
        <v>1.28026724445492</v>
      </c>
      <c r="T179" s="4" t="str">
        <f t="shared" si="161"/>
        <v>1+0,0401352457666379i</v>
      </c>
      <c r="U179" s="4">
        <f t="shared" si="173"/>
        <v>1.00080509488749</v>
      </c>
      <c r="V179" s="4">
        <f t="shared" si="174"/>
        <v>0.0401137161122397</v>
      </c>
      <c r="W179" t="str">
        <f t="shared" si="162"/>
        <v>1-0,0559922513485462i</v>
      </c>
      <c r="X179" s="4">
        <f t="shared" si="175"/>
        <v>1.00156633939599</v>
      </c>
      <c r="Y179" s="4">
        <f t="shared" si="176"/>
        <v>-0.0559338468025711</v>
      </c>
      <c r="Z179" t="str">
        <f t="shared" si="163"/>
        <v>0,999998645235178+0,0149399733044284i</v>
      </c>
      <c r="AA179" s="4">
        <f t="shared" si="177"/>
        <v>1.00011024056077</v>
      </c>
      <c r="AB179" s="4">
        <f t="shared" si="178"/>
        <v>0.0149388821409566</v>
      </c>
      <c r="AC179" s="67" t="str">
        <f t="shared" si="179"/>
        <v>4,42475284073839-16,6484693280385i</v>
      </c>
      <c r="AD179" s="68">
        <f t="shared" si="180"/>
        <v>24.7239068177254</v>
      </c>
      <c r="AE179" s="31">
        <f t="shared" si="181"/>
        <v>-75.1162713733322</v>
      </c>
      <c r="AF179" s="32" t="str">
        <f t="shared" si="182"/>
        <v>326,048966736478</v>
      </c>
      <c r="AG179" s="32" t="str">
        <f t="shared" si="164"/>
        <v>1+2,15010245178417i</v>
      </c>
      <c r="AH179" s="32">
        <f t="shared" si="183"/>
        <v>2.37127403586517</v>
      </c>
      <c r="AI179" s="32">
        <f t="shared" si="184"/>
        <v>1.13546127267783</v>
      </c>
      <c r="AJ179" s="32" t="str">
        <f t="shared" si="165"/>
        <v>1+0,0401352457666379i</v>
      </c>
      <c r="AK179" s="32">
        <f t="shared" si="185"/>
        <v>1.00080509488749</v>
      </c>
      <c r="AL179" s="32">
        <f t="shared" si="186"/>
        <v>0.0401137161122397</v>
      </c>
      <c r="AM179" s="32" t="str">
        <f t="shared" si="166"/>
        <v>1-0,00662371272782953i</v>
      </c>
      <c r="AN179" s="32">
        <f t="shared" si="187"/>
        <v>1.00002193654454</v>
      </c>
      <c r="AO179" s="32">
        <f t="shared" si="188"/>
        <v>-0.00662361586173743</v>
      </c>
      <c r="AP179" s="30" t="str">
        <f t="shared" si="189"/>
        <v>62,1789475954517-122,764706953281i</v>
      </c>
      <c r="AQ179" s="32">
        <f t="shared" si="190"/>
        <v>42.7732023322411</v>
      </c>
      <c r="AR179" s="31">
        <f t="shared" si="191"/>
        <v>-63.1382973251687</v>
      </c>
      <c r="AS179" t="str">
        <f t="shared" si="167"/>
        <v>-0,000100699300699301</v>
      </c>
      <c r="AT179" t="str">
        <f t="shared" si="168"/>
        <v>0,000575152405852267i</v>
      </c>
      <c r="AU179">
        <f t="shared" si="192"/>
        <v>0.000575152405852267</v>
      </c>
      <c r="AV179">
        <f t="shared" si="193"/>
        <v>1.5707963267949</v>
      </c>
      <c r="AW179" t="str">
        <f t="shared" si="169"/>
        <v>1+0,0294467482456084i</v>
      </c>
      <c r="AX179">
        <f t="shared" si="194"/>
        <v>1.00043346154666</v>
      </c>
      <c r="AY179">
        <f t="shared" si="195"/>
        <v>0.0294382414713621</v>
      </c>
      <c r="AZ179" t="str">
        <f t="shared" si="170"/>
        <v>1+1,40780517676345i</v>
      </c>
      <c r="BA179">
        <f t="shared" si="196"/>
        <v>1.72682234631185</v>
      </c>
      <c r="BB179">
        <f t="shared" si="197"/>
        <v>0.953174020192787</v>
      </c>
      <c r="BC179" s="30" t="str">
        <f t="shared" si="198"/>
        <v>-0,241117794090887+0,182182947248096i</v>
      </c>
      <c r="BD179" s="32">
        <f t="shared" si="199"/>
        <v>-10.3939407043282</v>
      </c>
      <c r="BE179" s="31">
        <f t="shared" si="200"/>
        <v>142.926161505968</v>
      </c>
      <c r="BF179" s="30" t="str">
        <f t="shared" si="201"/>
        <v>1,96618056499536+4,82035671273654i</v>
      </c>
      <c r="BG179" s="68">
        <f t="shared" si="202"/>
        <v>14.3299661133972</v>
      </c>
      <c r="BH179" s="31">
        <f t="shared" si="203"/>
        <v>67.8098901326359</v>
      </c>
      <c r="BI179" s="30" t="str">
        <f t="shared" si="209"/>
        <v>7,37318544768938+40,9286992625136i</v>
      </c>
      <c r="BJ179" s="68">
        <f t="shared" si="204"/>
        <v>32.3792616279129</v>
      </c>
      <c r="BK179" s="31">
        <f t="shared" si="210"/>
        <v>79.7878641807995</v>
      </c>
      <c r="BL179" s="32">
        <f t="shared" si="205"/>
        <v>14.3299661133972</v>
      </c>
      <c r="BM179" s="31">
        <f t="shared" si="206"/>
        <v>67.8098901326359</v>
      </c>
      <c r="BO179">
        <f t="shared" si="207"/>
        <v>0</v>
      </c>
      <c r="BP179">
        <f t="shared" si="208"/>
        <v>0</v>
      </c>
    </row>
    <row r="180" spans="14:68">
      <c r="N180" s="7">
        <v>62</v>
      </c>
      <c r="O180" s="18">
        <f t="shared" si="158"/>
        <v>416.869383470336</v>
      </c>
      <c r="P180" s="86" t="str">
        <f t="shared" si="159"/>
        <v>60</v>
      </c>
      <c r="Q180" s="4" t="str">
        <f t="shared" si="160"/>
        <v>1+3,42250964470554i</v>
      </c>
      <c r="R180" s="4">
        <f t="shared" si="171"/>
        <v>3.56560966289111</v>
      </c>
      <c r="S180" s="4">
        <f t="shared" si="172"/>
        <v>1.28652619813772</v>
      </c>
      <c r="T180" s="4" t="str">
        <f t="shared" si="161"/>
        <v>1+0,0410701157364665i</v>
      </c>
      <c r="U180" s="4">
        <f t="shared" si="173"/>
        <v>1.00084302186037</v>
      </c>
      <c r="V180" s="4">
        <f t="shared" si="174"/>
        <v>0.0410470473454965</v>
      </c>
      <c r="W180" t="str">
        <f t="shared" si="162"/>
        <v>1-0,05729647842699i</v>
      </c>
      <c r="X180" s="4">
        <f t="shared" si="175"/>
        <v>1.00164009825892</v>
      </c>
      <c r="Y180" s="4">
        <f t="shared" si="176"/>
        <v>-0.0572339023615275</v>
      </c>
      <c r="Z180" t="str">
        <f t="shared" si="163"/>
        <v>0,999998581387079+0,0152879699872832i</v>
      </c>
      <c r="AA180" s="4">
        <f t="shared" si="177"/>
        <v>1.00011543573855</v>
      </c>
      <c r="AB180" s="4">
        <f t="shared" si="178"/>
        <v>0.0152868007918462</v>
      </c>
      <c r="AC180" s="67" t="str">
        <f t="shared" si="179"/>
        <v>4,21871737407068-16,3311810268801i</v>
      </c>
      <c r="AD180" s="68">
        <f t="shared" si="180"/>
        <v>24.5408997960346</v>
      </c>
      <c r="AE180" s="31">
        <f t="shared" si="181"/>
        <v>-75.5158290299415</v>
      </c>
      <c r="AF180" s="32" t="str">
        <f t="shared" si="182"/>
        <v>326,048966736478</v>
      </c>
      <c r="AG180" s="32" t="str">
        <f t="shared" si="164"/>
        <v>1+2,20018477159642i</v>
      </c>
      <c r="AH180" s="32">
        <f t="shared" si="183"/>
        <v>2.41677740579574</v>
      </c>
      <c r="AI180" s="32">
        <f t="shared" si="184"/>
        <v>1.1442004704379</v>
      </c>
      <c r="AJ180" s="32" t="str">
        <f t="shared" si="165"/>
        <v>1+0,0410701157364665i</v>
      </c>
      <c r="AK180" s="32">
        <f t="shared" si="185"/>
        <v>1.00084302186037</v>
      </c>
      <c r="AL180" s="32">
        <f t="shared" si="186"/>
        <v>0.0410470473454965</v>
      </c>
      <c r="AM180" s="32" t="str">
        <f t="shared" si="166"/>
        <v>1-0,00677799881726881i</v>
      </c>
      <c r="AN180" s="32">
        <f t="shared" si="187"/>
        <v>1.00002297037016</v>
      </c>
      <c r="AO180" s="32">
        <f t="shared" si="188"/>
        <v>-0.00677789502350986</v>
      </c>
      <c r="AP180" s="30" t="str">
        <f t="shared" si="189"/>
        <v>60,0498243356954-120,939799751726i</v>
      </c>
      <c r="AQ180" s="32">
        <f t="shared" si="190"/>
        <v>42.6084423486691</v>
      </c>
      <c r="AR180" s="31">
        <f t="shared" si="191"/>
        <v>-63.5943800774341</v>
      </c>
      <c r="AS180" t="str">
        <f t="shared" si="167"/>
        <v>-0,000100699300699301</v>
      </c>
      <c r="AT180" t="str">
        <f t="shared" si="168"/>
        <v>0,000588549426402041i</v>
      </c>
      <c r="AU180">
        <f t="shared" si="192"/>
        <v>0.000588549426402041</v>
      </c>
      <c r="AV180">
        <f t="shared" si="193"/>
        <v>1.5707963267949</v>
      </c>
      <c r="AW180" t="str">
        <f t="shared" si="169"/>
        <v>1+0,0301326511251867i</v>
      </c>
      <c r="AX180">
        <f t="shared" si="194"/>
        <v>1.00045388532597</v>
      </c>
      <c r="AY180">
        <f t="shared" si="195"/>
        <v>0.0301235361756882</v>
      </c>
      <c r="AZ180" t="str">
        <f t="shared" si="170"/>
        <v>1+1,4405971718786i</v>
      </c>
      <c r="BA180">
        <f t="shared" si="196"/>
        <v>1.75365909219113</v>
      </c>
      <c r="BB180">
        <f t="shared" si="197"/>
        <v>0.964002899097367</v>
      </c>
      <c r="BC180" s="30" t="str">
        <f t="shared" si="198"/>
        <v>-0,241107949586467+0,178362662626272i</v>
      </c>
      <c r="BD180" s="32">
        <f t="shared" si="199"/>
        <v>-10.4601678011793</v>
      </c>
      <c r="BE180" s="31">
        <f t="shared" si="200"/>
        <v>143.507346069778</v>
      </c>
      <c r="BF180" s="30" t="str">
        <f t="shared" si="201"/>
        <v>1,895706635839+4,69003923542343i</v>
      </c>
      <c r="BG180" s="68">
        <f t="shared" si="202"/>
        <v>14.0807319948552</v>
      </c>
      <c r="BH180" s="31">
        <f t="shared" si="203"/>
        <v>67.9915170398369</v>
      </c>
      <c r="BI180" s="30" t="str">
        <f t="shared" si="209"/>
        <v>7,09265468259895+39,8701937002911i</v>
      </c>
      <c r="BJ180" s="68">
        <f t="shared" si="204"/>
        <v>32.1482745474898</v>
      </c>
      <c r="BK180" s="31">
        <f t="shared" si="210"/>
        <v>79.9129659923443</v>
      </c>
      <c r="BL180" s="32">
        <f t="shared" si="205"/>
        <v>14.0807319948552</v>
      </c>
      <c r="BM180" s="31">
        <f t="shared" si="206"/>
        <v>67.9915170398369</v>
      </c>
      <c r="BO180">
        <f t="shared" si="207"/>
        <v>0</v>
      </c>
      <c r="BP180">
        <f t="shared" si="208"/>
        <v>0</v>
      </c>
    </row>
    <row r="181" spans="14:68">
      <c r="N181" s="7">
        <v>63</v>
      </c>
      <c r="O181" s="18">
        <f t="shared" si="158"/>
        <v>426.579518801593</v>
      </c>
      <c r="P181" s="86" t="str">
        <f t="shared" si="159"/>
        <v>60</v>
      </c>
      <c r="Q181" s="4" t="str">
        <f t="shared" si="160"/>
        <v>1+3,50223013544047i</v>
      </c>
      <c r="R181" s="4">
        <f t="shared" si="171"/>
        <v>3.64219932480189</v>
      </c>
      <c r="S181" s="4">
        <f t="shared" si="172"/>
        <v>1.29266488080391</v>
      </c>
      <c r="T181" s="4" t="str">
        <f t="shared" si="161"/>
        <v>1+0,0420267616252857i</v>
      </c>
      <c r="U181" s="4">
        <f t="shared" si="173"/>
        <v>1.00088273473605</v>
      </c>
      <c r="V181" s="4">
        <f t="shared" si="174"/>
        <v>0.0420020445762832</v>
      </c>
      <c r="W181" t="str">
        <f t="shared" si="162"/>
        <v>1-0,0586310848567043i</v>
      </c>
      <c r="X181" s="4">
        <f t="shared" si="175"/>
        <v>1.00171732744895</v>
      </c>
      <c r="Y181" s="4">
        <f t="shared" si="176"/>
        <v>-0.0585640396013777</v>
      </c>
      <c r="Z181" t="str">
        <f t="shared" si="163"/>
        <v>0,999998514529911+0,0156440725541854i</v>
      </c>
      <c r="AA181" s="4">
        <f t="shared" si="177"/>
        <v>1.00012087572858</v>
      </c>
      <c r="AB181" s="4">
        <f t="shared" si="178"/>
        <v>0.0156428197468805</v>
      </c>
      <c r="AC181" s="67" t="str">
        <f t="shared" si="179"/>
        <v>4,02052208266518-16,0175405153842i</v>
      </c>
      <c r="AD181" s="68">
        <f t="shared" si="180"/>
        <v>24.3572686448479</v>
      </c>
      <c r="AE181" s="31">
        <f t="shared" si="181"/>
        <v>-75.9094419612803</v>
      </c>
      <c r="AF181" s="32" t="str">
        <f t="shared" si="182"/>
        <v>326,048966736478</v>
      </c>
      <c r="AG181" s="32" t="str">
        <f t="shared" si="164"/>
        <v>1+2,25143365849745i</v>
      </c>
      <c r="AH181" s="32">
        <f t="shared" si="183"/>
        <v>2.46352461295097</v>
      </c>
      <c r="AI181" s="32">
        <f t="shared" si="184"/>
        <v>1.15280835120432</v>
      </c>
      <c r="AJ181" s="32" t="str">
        <f t="shared" si="165"/>
        <v>1+0,0420267616252857i</v>
      </c>
      <c r="AK181" s="32">
        <f t="shared" si="185"/>
        <v>1.00088273473605</v>
      </c>
      <c r="AL181" s="32">
        <f t="shared" si="186"/>
        <v>0.0420020445762832</v>
      </c>
      <c r="AM181" s="32" t="str">
        <f t="shared" si="166"/>
        <v>1-0,00693587869139841i</v>
      </c>
      <c r="AN181" s="32">
        <f t="shared" si="187"/>
        <v>1.00002405291734</v>
      </c>
      <c r="AO181" s="32">
        <f t="shared" si="188"/>
        <v>-0.00693576747452641</v>
      </c>
      <c r="AP181" s="30" t="str">
        <f t="shared" si="189"/>
        <v>57,9842040725509-119,106242587661i</v>
      </c>
      <c r="AQ181" s="32">
        <f t="shared" si="190"/>
        <v>42.4423913248545</v>
      </c>
      <c r="AR181" s="31">
        <f t="shared" si="191"/>
        <v>-64.0419034302759</v>
      </c>
      <c r="AS181" t="str">
        <f t="shared" si="167"/>
        <v>-0,000100699300699301</v>
      </c>
      <c r="AT181" t="str">
        <f t="shared" si="168"/>
        <v>0,000602258503648066i</v>
      </c>
      <c r="AU181">
        <f t="shared" si="192"/>
        <v>0.000602258503648066</v>
      </c>
      <c r="AV181">
        <f t="shared" si="193"/>
        <v>1.5707963267949</v>
      </c>
      <c r="AW181" t="str">
        <f t="shared" si="169"/>
        <v>1+0,0308345307352443i</v>
      </c>
      <c r="AX181">
        <f t="shared" si="194"/>
        <v>1.00047527120147</v>
      </c>
      <c r="AY181">
        <f t="shared" si="195"/>
        <v>0.0308247641414577</v>
      </c>
      <c r="AZ181" t="str">
        <f t="shared" si="170"/>
        <v>1+1,47415299068285i</v>
      </c>
      <c r="BA181">
        <f t="shared" si="196"/>
        <v>1.7813273253221</v>
      </c>
      <c r="BB181">
        <f t="shared" si="197"/>
        <v>0.974744952120652</v>
      </c>
      <c r="BC181" s="30" t="str">
        <f t="shared" si="198"/>
        <v>-0,241097641986408+0,174636920307714i</v>
      </c>
      <c r="BD181" s="32">
        <f t="shared" si="199"/>
        <v>-10.5243822959807</v>
      </c>
      <c r="BE181" s="31">
        <f t="shared" si="200"/>
        <v>144.082642968403</v>
      </c>
      <c r="BF181" s="30" t="str">
        <f t="shared" si="201"/>
        <v>1,82791555282587+4,56392284322669i</v>
      </c>
      <c r="BG181" s="68">
        <f t="shared" si="202"/>
        <v>13.8328863488672</v>
      </c>
      <c r="BH181" s="31">
        <f t="shared" si="203"/>
        <v>68.173201007123</v>
      </c>
      <c r="BI181" s="30" t="str">
        <f t="shared" si="209"/>
        <v>6,82049252058191+38,8424170594705i</v>
      </c>
      <c r="BJ181" s="68">
        <f t="shared" si="204"/>
        <v>31.9180090288738</v>
      </c>
      <c r="BK181" s="31">
        <f t="shared" si="210"/>
        <v>80.0407395381274</v>
      </c>
      <c r="BL181" s="32">
        <f t="shared" si="205"/>
        <v>13.8328863488672</v>
      </c>
      <c r="BM181" s="31">
        <f t="shared" si="206"/>
        <v>68.173201007123</v>
      </c>
      <c r="BO181">
        <f t="shared" si="207"/>
        <v>0</v>
      </c>
      <c r="BP181">
        <f t="shared" si="208"/>
        <v>0</v>
      </c>
    </row>
    <row r="182" spans="14:68">
      <c r="N182" s="7">
        <v>64</v>
      </c>
      <c r="O182" s="18">
        <f t="shared" si="158"/>
        <v>436.515832240166</v>
      </c>
      <c r="P182" s="86" t="str">
        <f t="shared" si="159"/>
        <v>60</v>
      </c>
      <c r="Q182" s="4" t="str">
        <f t="shared" si="160"/>
        <v>1+3,5838075549507i</v>
      </c>
      <c r="R182" s="4">
        <f t="shared" si="171"/>
        <v>3.72070915161636</v>
      </c>
      <c r="S182" s="4">
        <f t="shared" si="172"/>
        <v>1.29868469593736</v>
      </c>
      <c r="T182" s="4" t="str">
        <f t="shared" si="161"/>
        <v>1+0,0430056906594084i</v>
      </c>
      <c r="U182" s="4">
        <f t="shared" si="173"/>
        <v>1.0009243175331</v>
      </c>
      <c r="V182" s="4">
        <f t="shared" si="174"/>
        <v>0.0429792071849909</v>
      </c>
      <c r="W182" t="str">
        <f t="shared" si="162"/>
        <v>1-0,0599967782636836i</v>
      </c>
      <c r="X182" s="4">
        <f t="shared" si="175"/>
        <v>1.00179818995745</v>
      </c>
      <c r="Y182" s="4">
        <f t="shared" si="176"/>
        <v>-0.05992494494092</v>
      </c>
      <c r="Z182" t="str">
        <f t="shared" si="163"/>
        <v>0,999998444521863+0,0160084698154296i</v>
      </c>
      <c r="AA182" s="4">
        <f t="shared" si="177"/>
        <v>1.00012657206574</v>
      </c>
      <c r="AB182" s="4">
        <f t="shared" si="178"/>
        <v>0.0160071274173917</v>
      </c>
      <c r="AC182" s="67" t="str">
        <f t="shared" si="179"/>
        <v>3,82992593625289-15,7076659203108i</v>
      </c>
      <c r="AD182" s="68">
        <f t="shared" si="180"/>
        <v>24.1730409019481</v>
      </c>
      <c r="AE182" s="31">
        <f t="shared" si="181"/>
        <v>-76.2972120927363</v>
      </c>
      <c r="AF182" s="32" t="str">
        <f t="shared" si="182"/>
        <v>326,048966736478</v>
      </c>
      <c r="AG182" s="32" t="str">
        <f t="shared" si="164"/>
        <v>1+2,30387628532545i</v>
      </c>
      <c r="AH182" s="32">
        <f t="shared" si="183"/>
        <v>2.51154254156385</v>
      </c>
      <c r="AI182" s="32">
        <f t="shared" si="184"/>
        <v>1.16128437549986</v>
      </c>
      <c r="AJ182" s="32" t="str">
        <f t="shared" si="165"/>
        <v>1+0,0430056906594084i</v>
      </c>
      <c r="AK182" s="32">
        <f t="shared" si="185"/>
        <v>1.0009243175331</v>
      </c>
      <c r="AL182" s="32">
        <f t="shared" si="186"/>
        <v>0.0429792071849909</v>
      </c>
      <c r="AM182" s="32" t="str">
        <f t="shared" si="166"/>
        <v>1-0,00709743606021739i</v>
      </c>
      <c r="AN182" s="32">
        <f t="shared" si="187"/>
        <v>1.00002518648214</v>
      </c>
      <c r="AO182" s="32">
        <f t="shared" si="188"/>
        <v>-0.00709731688935408</v>
      </c>
      <c r="AP182" s="30" t="str">
        <f t="shared" si="189"/>
        <v>55,9813804189675-117,266325457665i</v>
      </c>
      <c r="AQ182" s="32">
        <f t="shared" si="190"/>
        <v>42.2750893647038</v>
      </c>
      <c r="AR182" s="31">
        <f t="shared" si="191"/>
        <v>-64.4808126557363</v>
      </c>
      <c r="AS182" t="str">
        <f t="shared" si="167"/>
        <v>-0,000100699300699301</v>
      </c>
      <c r="AT182" t="str">
        <f t="shared" si="168"/>
        <v>0,000616286906324558i</v>
      </c>
      <c r="AU182">
        <f t="shared" si="192"/>
        <v>0.000616286906324558</v>
      </c>
      <c r="AV182">
        <f t="shared" si="193"/>
        <v>1.5707963267949</v>
      </c>
      <c r="AW182" t="str">
        <f t="shared" si="169"/>
        <v>1+0,031552759221641i</v>
      </c>
      <c r="AX182">
        <f t="shared" si="194"/>
        <v>1.00049766447229</v>
      </c>
      <c r="AY182">
        <f t="shared" si="195"/>
        <v>0.0315422944089758</v>
      </c>
      <c r="AZ182" t="str">
        <f t="shared" si="170"/>
        <v>1+1,50849042491547i</v>
      </c>
      <c r="BA182">
        <f t="shared" si="196"/>
        <v>1.80984622608156</v>
      </c>
      <c r="BB182">
        <f t="shared" si="197"/>
        <v>0.98539595851688</v>
      </c>
      <c r="BC182" s="30" t="str">
        <f t="shared" si="198"/>
        <v>-0,241086849548682+0,171003742860025i</v>
      </c>
      <c r="BD182" s="32">
        <f t="shared" si="199"/>
        <v>-10.5866177758454</v>
      </c>
      <c r="BE182" s="31">
        <f t="shared" si="200"/>
        <v>144.651789226472</v>
      </c>
      <c r="BF182" s="30" t="str">
        <f t="shared" si="201"/>
        <v>1,76272488599201+4,44184336046686i</v>
      </c>
      <c r="BG182" s="68">
        <f t="shared" si="202"/>
        <v>13.5864231261027</v>
      </c>
      <c r="BH182" s="31">
        <f t="shared" si="203"/>
        <v>68.3545771337358</v>
      </c>
      <c r="BI182" s="30" t="str">
        <f t="shared" si="209"/>
        <v>6,5566059261074+37,8443945448532i</v>
      </c>
      <c r="BJ182" s="68">
        <f t="shared" si="204"/>
        <v>31.6884715888584</v>
      </c>
      <c r="BK182" s="31">
        <f t="shared" si="210"/>
        <v>80.1709765707358</v>
      </c>
      <c r="BL182" s="32">
        <f t="shared" si="205"/>
        <v>13.5864231261027</v>
      </c>
      <c r="BM182" s="31">
        <f t="shared" si="206"/>
        <v>68.3545771337358</v>
      </c>
      <c r="BO182">
        <f t="shared" si="207"/>
        <v>0</v>
      </c>
      <c r="BP182">
        <f t="shared" si="208"/>
        <v>0</v>
      </c>
    </row>
    <row r="183" spans="14:68">
      <c r="N183" s="7">
        <v>65</v>
      </c>
      <c r="O183" s="18">
        <f t="shared" si="158"/>
        <v>446.683592150963</v>
      </c>
      <c r="P183" s="86" t="str">
        <f t="shared" si="159"/>
        <v>60</v>
      </c>
      <c r="Q183" s="4" t="str">
        <f t="shared" si="160"/>
        <v>1+3,66728515666387i</v>
      </c>
      <c r="R183" s="4">
        <f t="shared" si="171"/>
        <v>3.80118145058706</v>
      </c>
      <c r="S183" s="4">
        <f t="shared" si="172"/>
        <v>1.3045870894607</v>
      </c>
      <c r="T183" s="4" t="str">
        <f t="shared" si="161"/>
        <v>1+0,0440074218799665i</v>
      </c>
      <c r="U183" s="4">
        <f t="shared" si="173"/>
        <v>1.0009678582155</v>
      </c>
      <c r="V183" s="4">
        <f t="shared" si="174"/>
        <v>0.0439790458075922</v>
      </c>
      <c r="W183" t="str">
        <f t="shared" si="162"/>
        <v>1-0,0613942827566497i</v>
      </c>
      <c r="X183" s="4">
        <f t="shared" si="175"/>
        <v>1.00188285640348</v>
      </c>
      <c r="Y183" s="4">
        <f t="shared" si="176"/>
        <v>-0.0613173197749191</v>
      </c>
      <c r="Z183" t="str">
        <f t="shared" si="163"/>
        <v>0,999998371214437+0,016381354979267i</v>
      </c>
      <c r="AA183" s="4">
        <f t="shared" si="177"/>
        <v>1.00013253682824</v>
      </c>
      <c r="AB183" s="4">
        <f t="shared" si="178"/>
        <v>0.0163799165841484</v>
      </c>
      <c r="AC183" s="67" t="str">
        <f t="shared" si="179"/>
        <v>3,64669053086069-15,4016631992445i</v>
      </c>
      <c r="AD183" s="68">
        <f t="shared" si="180"/>
        <v>23.9882434079279</v>
      </c>
      <c r="AE183" s="31">
        <f t="shared" si="181"/>
        <v>-76.6792442447716</v>
      </c>
      <c r="AF183" s="32" t="str">
        <f t="shared" si="182"/>
        <v>326,048966736478</v>
      </c>
      <c r="AG183" s="32" t="str">
        <f t="shared" si="164"/>
        <v>1+2,35754045785535i</v>
      </c>
      <c r="AH183" s="32">
        <f t="shared" si="183"/>
        <v>2.5608586470996</v>
      </c>
      <c r="AI183" s="32">
        <f t="shared" si="184"/>
        <v>1.16962816483366</v>
      </c>
      <c r="AJ183" s="32" t="str">
        <f t="shared" si="165"/>
        <v>1+0,0440074218799665i</v>
      </c>
      <c r="AK183" s="32">
        <f t="shared" si="185"/>
        <v>1.0009678582155</v>
      </c>
      <c r="AL183" s="32">
        <f t="shared" si="186"/>
        <v>0.0439790458075922</v>
      </c>
      <c r="AM183" s="32" t="str">
        <f t="shared" si="166"/>
        <v>1-0,00726275658358117i</v>
      </c>
      <c r="AN183" s="32">
        <f t="shared" si="187"/>
        <v>1.00002637346882</v>
      </c>
      <c r="AO183" s="32">
        <f t="shared" si="188"/>
        <v>-0.00726262888988239</v>
      </c>
      <c r="AP183" s="30" t="str">
        <f t="shared" si="189"/>
        <v>54,0405601961886-115,422246874718i</v>
      </c>
      <c r="AQ183" s="32">
        <f t="shared" si="190"/>
        <v>42.106576139454</v>
      </c>
      <c r="AR183" s="31">
        <f t="shared" si="191"/>
        <v>-64.911061716373</v>
      </c>
      <c r="AS183" t="str">
        <f t="shared" si="167"/>
        <v>-0,000100699300699301</v>
      </c>
      <c r="AT183" t="str">
        <f t="shared" si="168"/>
        <v>0,000630642072476306i</v>
      </c>
      <c r="AU183">
        <f t="shared" si="192"/>
        <v>0.000630642072476306</v>
      </c>
      <c r="AV183">
        <f t="shared" si="193"/>
        <v>1.5707963267949</v>
      </c>
      <c r="AW183" t="str">
        <f t="shared" si="169"/>
        <v>1+0,0322877173986272i</v>
      </c>
      <c r="AX183">
        <f t="shared" si="194"/>
        <v>1.00052111256825</v>
      </c>
      <c r="AY183">
        <f t="shared" si="195"/>
        <v>0.0322765044652359</v>
      </c>
      <c r="AZ183" t="str">
        <f t="shared" si="170"/>
        <v>1+1,54362768073862i</v>
      </c>
      <c r="BA183">
        <f t="shared" si="196"/>
        <v>1.83923528042023</v>
      </c>
      <c r="BB183">
        <f t="shared" si="197"/>
        <v>0.99595189918496</v>
      </c>
      <c r="BC183" s="30" t="str">
        <f t="shared" si="198"/>
        <v>-0,241075549514587+0,167461201787746i</v>
      </c>
      <c r="BD183" s="32">
        <f t="shared" si="199"/>
        <v>-10.6469090896998</v>
      </c>
      <c r="BE183" s="31">
        <f t="shared" si="200"/>
        <v>145.214532938044</v>
      </c>
      <c r="BF183" s="30" t="str">
        <f t="shared" si="201"/>
        <v>1,7000531052387+4,32364359804238i</v>
      </c>
      <c r="BG183" s="68">
        <f t="shared" si="202"/>
        <v>13.3413343182281</v>
      </c>
      <c r="BH183" s="31">
        <f t="shared" si="203"/>
        <v>68.5352886932723</v>
      </c>
      <c r="BI183" s="30" t="str">
        <f t="shared" si="209"/>
        <v>6,3008904293099+36,8751787472677i</v>
      </c>
      <c r="BJ183" s="68">
        <f t="shared" si="204"/>
        <v>31.4596670497542</v>
      </c>
      <c r="BK183" s="31">
        <f t="shared" si="210"/>
        <v>80.3034712216709</v>
      </c>
      <c r="BL183" s="32">
        <f t="shared" si="205"/>
        <v>13.3413343182281</v>
      </c>
      <c r="BM183" s="31">
        <f t="shared" si="206"/>
        <v>68.5352886932723</v>
      </c>
      <c r="BO183">
        <f t="shared" si="207"/>
        <v>0</v>
      </c>
      <c r="BP183">
        <f t="shared" si="208"/>
        <v>0</v>
      </c>
    </row>
    <row r="184" spans="14:68">
      <c r="N184" s="7">
        <v>66</v>
      </c>
      <c r="O184" s="18">
        <f t="shared" ref="O184:O218" si="211">10^(2+(N184/100))</f>
        <v>457.088189614876</v>
      </c>
      <c r="P184" s="86" t="str">
        <f t="shared" si="159"/>
        <v>60</v>
      </c>
      <c r="Q184" s="4" t="str">
        <f t="shared" si="160"/>
        <v>1+3,75270720150938i</v>
      </c>
      <c r="R184" s="4">
        <f t="shared" si="171"/>
        <v>3.88365952939497</v>
      </c>
      <c r="S184" s="4">
        <f t="shared" si="172"/>
        <v>1.31037354521034</v>
      </c>
      <c r="T184" s="4" t="str">
        <f t="shared" si="161"/>
        <v>1+0,0450324864181127i</v>
      </c>
      <c r="U184" s="4">
        <f t="shared" si="173"/>
        <v>1.00101344887719</v>
      </c>
      <c r="V184" s="4">
        <f t="shared" si="174"/>
        <v>0.0450020825710779</v>
      </c>
      <c r="W184" t="str">
        <f t="shared" si="162"/>
        <v>1-0,0628243393109831i</v>
      </c>
      <c r="X184" s="4">
        <f t="shared" si="175"/>
        <v>1.00197150538818</v>
      </c>
      <c r="Y184" s="4">
        <f t="shared" si="176"/>
        <v>-0.0627418807514833</v>
      </c>
      <c r="Z184" t="str">
        <f t="shared" si="163"/>
        <v>0,999998294452138+0,0167629257543475i</v>
      </c>
      <c r="AA184" s="4">
        <f t="shared" si="177"/>
        <v>1.0001387826632</v>
      </c>
      <c r="AB184" s="4">
        <f t="shared" si="178"/>
        <v>0.0167613844977597</v>
      </c>
      <c r="AC184" s="67" t="str">
        <f t="shared" si="179"/>
        <v>3,47058050907076-15,0996267020961i</v>
      </c>
      <c r="AD184" s="68">
        <f t="shared" si="180"/>
        <v>23.8029023199295</v>
      </c>
      <c r="AE184" s="31">
        <f t="shared" si="181"/>
        <v>-77.0556458818161</v>
      </c>
      <c r="AF184" s="32" t="str">
        <f t="shared" si="182"/>
        <v>326,048966736478</v>
      </c>
      <c r="AG184" s="32" t="str">
        <f t="shared" si="164"/>
        <v>1+2,41245462954175i</v>
      </c>
      <c r="AH184" s="32">
        <f t="shared" si="183"/>
        <v>2.61150097445845</v>
      </c>
      <c r="AI184" s="32">
        <f t="shared" si="184"/>
        <v>1.17783949506382</v>
      </c>
      <c r="AJ184" s="32" t="str">
        <f t="shared" si="165"/>
        <v>1+0,0450324864181127i</v>
      </c>
      <c r="AK184" s="32">
        <f t="shared" si="185"/>
        <v>1.00101344887719</v>
      </c>
      <c r="AL184" s="32">
        <f t="shared" si="186"/>
        <v>0.0450020825710779</v>
      </c>
      <c r="AM184" s="32" t="str">
        <f t="shared" si="166"/>
        <v>1-0,00743192791661956i</v>
      </c>
      <c r="AN184" s="32">
        <f t="shared" si="187"/>
        <v>1.00002761639495</v>
      </c>
      <c r="AO184" s="32">
        <f t="shared" si="188"/>
        <v>-0.00743179109056024</v>
      </c>
      <c r="AP184" s="30" t="str">
        <f t="shared" si="189"/>
        <v>52,1608711873975-113,576111928842i</v>
      </c>
      <c r="AQ184" s="32">
        <f t="shared" si="190"/>
        <v>41.9368908376364</v>
      </c>
      <c r="AR184" s="31">
        <f t="shared" si="191"/>
        <v>-65.332612874067</v>
      </c>
      <c r="AS184" t="str">
        <f t="shared" si="167"/>
        <v>-0,000100699300699301</v>
      </c>
      <c r="AT184" t="str">
        <f t="shared" si="168"/>
        <v>0,000645331613402417i</v>
      </c>
      <c r="AU184">
        <f t="shared" si="192"/>
        <v>0.000645331613402417</v>
      </c>
      <c r="AV184">
        <f t="shared" si="193"/>
        <v>1.5707963267949</v>
      </c>
      <c r="AW184" t="str">
        <f t="shared" si="169"/>
        <v>1+0,0330397949507567i</v>
      </c>
      <c r="AX184">
        <f t="shared" si="194"/>
        <v>1.00054566514997</v>
      </c>
      <c r="AY184">
        <f t="shared" si="195"/>
        <v>0.0330277804300258</v>
      </c>
      <c r="AZ184" t="str">
        <f t="shared" si="170"/>
        <v>1+1,57958338839043i</v>
      </c>
      <c r="BA184">
        <f t="shared" si="196"/>
        <v>1.86951429009756</v>
      </c>
      <c r="BB184">
        <f t="shared" si="197"/>
        <v>1.0064089610535</v>
      </c>
      <c r="BC184" s="30" t="str">
        <f t="shared" si="198"/>
        <v>-0,24106371806159+0,16400741649974i</v>
      </c>
      <c r="BD184" s="32">
        <f t="shared" si="199"/>
        <v>-10.7052922347527</v>
      </c>
      <c r="BE184" s="31">
        <f t="shared" si="200"/>
        <v>145.770633507186</v>
      </c>
      <c r="BF184" s="30" t="str">
        <f t="shared" si="201"/>
        <v>1,63981972417259+4,2091730971964i</v>
      </c>
      <c r="BG184" s="68">
        <f t="shared" si="202"/>
        <v>13.0976100851768</v>
      </c>
      <c r="BH184" s="31">
        <f t="shared" si="203"/>
        <v>68.7149876253703</v>
      </c>
      <c r="BI184" s="30" t="str">
        <f t="shared" si="209"/>
        <v>6,05323114776897+35,9338495503667i</v>
      </c>
      <c r="BJ184" s="68">
        <f t="shared" si="204"/>
        <v>31.2315986028837</v>
      </c>
      <c r="BK184" s="31">
        <f t="shared" si="210"/>
        <v>80.4380206331194</v>
      </c>
      <c r="BL184" s="32">
        <f t="shared" si="205"/>
        <v>13.0976100851768</v>
      </c>
      <c r="BM184" s="31">
        <f t="shared" si="206"/>
        <v>68.7149876253703</v>
      </c>
      <c r="BO184">
        <f t="shared" si="207"/>
        <v>0</v>
      </c>
      <c r="BP184">
        <f t="shared" si="208"/>
        <v>0</v>
      </c>
    </row>
    <row r="185" spans="14:68">
      <c r="N185" s="7">
        <v>67</v>
      </c>
      <c r="O185" s="18">
        <f t="shared" si="211"/>
        <v>467.735141287198</v>
      </c>
      <c r="P185" s="86" t="str">
        <f t="shared" si="159"/>
        <v>60</v>
      </c>
      <c r="Q185" s="4" t="str">
        <f t="shared" si="160"/>
        <v>1+3,84011898138606i</v>
      </c>
      <c r="R185" s="4">
        <f t="shared" si="171"/>
        <v>3.9681877212654</v>
      </c>
      <c r="S185" s="4">
        <f t="shared" si="172"/>
        <v>1.31604558062448</v>
      </c>
      <c r="T185" s="4" t="str">
        <f t="shared" si="161"/>
        <v>1+0,0460814277766327i</v>
      </c>
      <c r="U185" s="4">
        <f t="shared" si="173"/>
        <v>1.00106118593517</v>
      </c>
      <c r="V185" s="4">
        <f t="shared" si="174"/>
        <v>0.0460488513324881</v>
      </c>
      <c r="W185" t="str">
        <f t="shared" si="162"/>
        <v>1-0,064287706161597i</v>
      </c>
      <c r="X185" s="4">
        <f t="shared" si="175"/>
        <v>1.00206432386525</v>
      </c>
      <c r="Y185" s="4">
        <f t="shared" si="176"/>
        <v>-0.0641993600509096</v>
      </c>
      <c r="Z185" t="str">
        <f t="shared" si="163"/>
        <v>0,999998214072144+0,0171533844545463i</v>
      </c>
      <c r="AA185" s="4">
        <f t="shared" si="177"/>
        <v>1.0001453228135</v>
      </c>
      <c r="AB185" s="4">
        <f t="shared" si="178"/>
        <v>0.0171517329813176</v>
      </c>
      <c r="AC185" s="67" t="str">
        <f t="shared" si="179"/>
        <v>3,30136393379527-14,8016397296667i</v>
      </c>
      <c r="AD185" s="68">
        <f t="shared" si="180"/>
        <v>23.6170431268892</v>
      </c>
      <c r="AE185" s="31">
        <f t="shared" si="181"/>
        <v>-77.4265268733723</v>
      </c>
      <c r="AF185" s="32" t="str">
        <f t="shared" si="182"/>
        <v>326,048966736478</v>
      </c>
      <c r="AG185" s="32" t="str">
        <f t="shared" si="164"/>
        <v>1+2,46864791660532i</v>
      </c>
      <c r="AH185" s="32">
        <f t="shared" si="183"/>
        <v>2.66349817648892</v>
      </c>
      <c r="AI185" s="32">
        <f t="shared" si="184"/>
        <v>1.18591828964222</v>
      </c>
      <c r="AJ185" s="32" t="str">
        <f t="shared" si="165"/>
        <v>1+0,0460814277766327i</v>
      </c>
      <c r="AK185" s="32">
        <f t="shared" si="185"/>
        <v>1.00106118593517</v>
      </c>
      <c r="AL185" s="32">
        <f t="shared" si="186"/>
        <v>0.0460488513324881</v>
      </c>
      <c r="AM185" s="32" t="str">
        <f t="shared" si="166"/>
        <v>1-0,00760503975621246i</v>
      </c>
      <c r="AN185" s="32">
        <f t="shared" si="187"/>
        <v>1.00002891789672</v>
      </c>
      <c r="AO185" s="32">
        <f t="shared" si="188"/>
        <v>-0.00760489314467741</v>
      </c>
      <c r="AP185" s="30" t="str">
        <f t="shared" si="189"/>
        <v>50,3413697260523-111,729930935467i</v>
      </c>
      <c r="AQ185" s="32">
        <f t="shared" si="190"/>
        <v>41.7660721198949</v>
      </c>
      <c r="AR185" s="31">
        <f t="shared" si="191"/>
        <v>-65.745436291933</v>
      </c>
      <c r="AS185" t="str">
        <f t="shared" si="167"/>
        <v>-0,000100699300699301</v>
      </c>
      <c r="AT185" t="str">
        <f t="shared" si="168"/>
        <v>0,000660363317691924i</v>
      </c>
      <c r="AU185">
        <f t="shared" si="192"/>
        <v>0.000660363317691924</v>
      </c>
      <c r="AV185">
        <f t="shared" si="193"/>
        <v>1.5707963267949</v>
      </c>
      <c r="AW185" t="str">
        <f t="shared" si="169"/>
        <v>1+0,0338093906395022i</v>
      </c>
      <c r="AX185">
        <f t="shared" si="194"/>
        <v>1.00057137421346</v>
      </c>
      <c r="AY185">
        <f t="shared" si="195"/>
        <v>0.0337965172456117</v>
      </c>
      <c r="AZ185" t="str">
        <f t="shared" si="170"/>
        <v>1+1,61637661206301i</v>
      </c>
      <c r="BA185">
        <f t="shared" si="196"/>
        <v>1.90070338349367</v>
      </c>
      <c r="BB185">
        <f t="shared" si="197"/>
        <v>1.01676354049309</v>
      </c>
      <c r="BC185" s="30" t="str">
        <f t="shared" si="198"/>
        <v>-0,241051330254037+0,160640553301244i</v>
      </c>
      <c r="BD185" s="32">
        <f t="shared" si="199"/>
        <v>-10.7618042426856</v>
      </c>
      <c r="BE185" s="31">
        <f t="shared" si="200"/>
        <v>146.319861832618</v>
      </c>
      <c r="BF185" s="30" t="str">
        <f t="shared" si="201"/>
        <v>1,58194542804528+4,09828787575081i</v>
      </c>
      <c r="BG185" s="68">
        <f t="shared" si="202"/>
        <v>12.8552388842036</v>
      </c>
      <c r="BH185" s="31">
        <f t="shared" si="203"/>
        <v>68.8933349592462</v>
      </c>
      <c r="BI185" s="30" t="str">
        <f t="shared" si="209"/>
        <v>5,81350378650798+35,0195139679215i</v>
      </c>
      <c r="BJ185" s="68">
        <f t="shared" si="204"/>
        <v>31.0042678772093</v>
      </c>
      <c r="BK185" s="31">
        <f t="shared" si="210"/>
        <v>80.5744255406854</v>
      </c>
      <c r="BL185" s="32">
        <f t="shared" si="205"/>
        <v>12.8552388842036</v>
      </c>
      <c r="BM185" s="31">
        <f t="shared" si="206"/>
        <v>68.8933349592462</v>
      </c>
      <c r="BO185">
        <f t="shared" si="207"/>
        <v>0</v>
      </c>
      <c r="BP185">
        <f t="shared" si="208"/>
        <v>0</v>
      </c>
    </row>
    <row r="186" spans="14:68">
      <c r="N186" s="7">
        <v>68</v>
      </c>
      <c r="O186" s="18">
        <f t="shared" si="211"/>
        <v>478.630092322639</v>
      </c>
      <c r="P186" s="86" t="str">
        <f t="shared" si="159"/>
        <v>60</v>
      </c>
      <c r="Q186" s="4" t="str">
        <f t="shared" si="160"/>
        <v>1+3,92956684317666i</v>
      </c>
      <c r="R186" s="4">
        <f t="shared" si="171"/>
        <v>4.05481141053359</v>
      </c>
      <c r="S186" s="4">
        <f t="shared" si="172"/>
        <v>1.32160474264257</v>
      </c>
      <c r="T186" s="4" t="str">
        <f t="shared" si="161"/>
        <v>1+0,04715480211812i</v>
      </c>
      <c r="U186" s="4">
        <f t="shared" si="173"/>
        <v>1.00111117033165</v>
      </c>
      <c r="V186" s="4">
        <f t="shared" si="174"/>
        <v>0.0471198979214908</v>
      </c>
      <c r="W186" t="str">
        <f t="shared" si="162"/>
        <v>1-0,0657851592049665i</v>
      </c>
      <c r="X186" s="4">
        <f t="shared" si="175"/>
        <v>1.00216150752841</v>
      </c>
      <c r="Y186" s="4">
        <f t="shared" si="176"/>
        <v>-0.0656905056656941</v>
      </c>
      <c r="Z186" t="str">
        <f t="shared" si="163"/>
        <v>0,999998129903957+0,0175529381062348i</v>
      </c>
      <c r="AA186" s="4">
        <f t="shared" si="177"/>
        <v>1.00015217114576</v>
      </c>
      <c r="AB186" s="4">
        <f t="shared" si="178"/>
        <v>0.0175511685353285</v>
      </c>
      <c r="AC186" s="67" t="str">
        <f t="shared" si="179"/>
        <v>3,13881261810111-14,5077750867027i</v>
      </c>
      <c r="AD186" s="68">
        <f t="shared" si="180"/>
        <v>23.4306906661469</v>
      </c>
      <c r="AE186" s="31">
        <f t="shared" si="181"/>
        <v>-77.7919992672256</v>
      </c>
      <c r="AF186" s="32" t="str">
        <f t="shared" si="182"/>
        <v>326,048966736478</v>
      </c>
      <c r="AG186" s="32" t="str">
        <f t="shared" si="164"/>
        <v>1+2,52615011347071i</v>
      </c>
      <c r="AH186" s="32">
        <f t="shared" si="183"/>
        <v>2.71687953280746</v>
      </c>
      <c r="AI186" s="32">
        <f t="shared" si="184"/>
        <v>1.19386461278219</v>
      </c>
      <c r="AJ186" s="32" t="str">
        <f t="shared" si="165"/>
        <v>1+0,04715480211812i</v>
      </c>
      <c r="AK186" s="32">
        <f t="shared" si="185"/>
        <v>1.00111117033165</v>
      </c>
      <c r="AL186" s="32">
        <f t="shared" si="186"/>
        <v>0.0471198979214908</v>
      </c>
      <c r="AM186" s="32" t="str">
        <f t="shared" si="166"/>
        <v>1-0,00778218388854875i</v>
      </c>
      <c r="AN186" s="32">
        <f t="shared" si="187"/>
        <v>1.00003028073458</v>
      </c>
      <c r="AO186" s="32">
        <f t="shared" si="188"/>
        <v>-0.00778202679171548</v>
      </c>
      <c r="AP186" s="30" t="str">
        <f t="shared" si="189"/>
        <v>48,5810480816415-109,885618632503i</v>
      </c>
      <c r="AQ186" s="32">
        <f t="shared" si="190"/>
        <v>41.5941580785514</v>
      </c>
      <c r="AR186" s="31">
        <f t="shared" si="191"/>
        <v>-66.1495096316738</v>
      </c>
      <c r="AS186" t="str">
        <f t="shared" si="167"/>
        <v>-0,000100699300699301</v>
      </c>
      <c r="AT186" t="str">
        <f t="shared" si="168"/>
        <v>0,000675745155353417i</v>
      </c>
      <c r="AU186">
        <f t="shared" si="192"/>
        <v>0.000675745155353417</v>
      </c>
      <c r="AV186">
        <f t="shared" si="193"/>
        <v>1.5707963267949</v>
      </c>
      <c r="AW186" t="str">
        <f t="shared" si="169"/>
        <v>1+0,0345969125146852i</v>
      </c>
      <c r="AX186">
        <f t="shared" si="194"/>
        <v>1.0005982941998</v>
      </c>
      <c r="AY186">
        <f t="shared" si="195"/>
        <v>0.0345831188700333</v>
      </c>
      <c r="AZ186" t="str">
        <f t="shared" si="170"/>
        <v>1+1,65402686001058i</v>
      </c>
      <c r="BA186">
        <f t="shared" si="196"/>
        <v>1.93282302698319</v>
      </c>
      <c r="BB186">
        <f t="shared" si="197"/>
        <v>1.02701224577746</v>
      </c>
      <c r="BC186" s="30" t="str">
        <f t="shared" si="198"/>
        <v>-0,241038359991615+0,157358824410024i</v>
      </c>
      <c r="BD186" s="32">
        <f t="shared" si="199"/>
        <v>-10.8164830662547</v>
      </c>
      <c r="BE186" s="31">
        <f t="shared" si="200"/>
        <v>146.862000437648</v>
      </c>
      <c r="BF186" s="30" t="str">
        <f t="shared" si="201"/>
        <v>1,52635218666049+3,99085017765377i</v>
      </c>
      <c r="BG186" s="68">
        <f t="shared" si="202"/>
        <v>12.6142075998922</v>
      </c>
      <c r="BH186" s="31">
        <f t="shared" si="203"/>
        <v>69.0700011704228</v>
      </c>
      <c r="BI186" s="30" t="str">
        <f t="shared" si="209"/>
        <v>5,58157561130624+34,1313059165765i</v>
      </c>
      <c r="BJ186" s="68">
        <f t="shared" si="204"/>
        <v>30.7776750122967</v>
      </c>
      <c r="BK186" s="31">
        <f t="shared" si="210"/>
        <v>80.7124908059746</v>
      </c>
      <c r="BL186" s="32">
        <f t="shared" si="205"/>
        <v>12.6142075998922</v>
      </c>
      <c r="BM186" s="31">
        <f t="shared" si="206"/>
        <v>69.0700011704228</v>
      </c>
      <c r="BO186">
        <f t="shared" si="207"/>
        <v>0</v>
      </c>
      <c r="BP186">
        <f t="shared" si="208"/>
        <v>0</v>
      </c>
    </row>
    <row r="187" spans="14:68">
      <c r="N187" s="7">
        <v>69</v>
      </c>
      <c r="O187" s="18">
        <f t="shared" si="211"/>
        <v>489.778819368446</v>
      </c>
      <c r="P187" s="86" t="str">
        <f t="shared" si="159"/>
        <v>60</v>
      </c>
      <c r="Q187" s="4" t="str">
        <f t="shared" si="160"/>
        <v>1+4,02109821332148i</v>
      </c>
      <c r="R187" s="4">
        <f t="shared" si="171"/>
        <v>4.14357705867493</v>
      </c>
      <c r="S187" s="4">
        <f t="shared" si="172"/>
        <v>1.32705260381353</v>
      </c>
      <c r="T187" s="4" t="str">
        <f t="shared" si="161"/>
        <v>1+0,0482531785598578i</v>
      </c>
      <c r="U187" s="4">
        <f t="shared" si="173"/>
        <v>1.00116350774543</v>
      </c>
      <c r="V187" s="4">
        <f t="shared" si="174"/>
        <v>0.0482157803864438</v>
      </c>
      <c r="W187" t="str">
        <f t="shared" si="162"/>
        <v>1-0,0673174924105158i</v>
      </c>
      <c r="X187" s="4">
        <f t="shared" si="175"/>
        <v>1.00226326121655</v>
      </c>
      <c r="Y187" s="4">
        <f t="shared" si="176"/>
        <v>-0.0672160816813553</v>
      </c>
      <c r="Z187" t="str">
        <f t="shared" si="163"/>
        <v>0,999998041769046+0,0179617985580479i</v>
      </c>
      <c r="AA187" s="4">
        <f t="shared" si="177"/>
        <v>1.00015934217972</v>
      </c>
      <c r="AB187" s="4">
        <f t="shared" si="178"/>
        <v>0.0179599024449742</v>
      </c>
      <c r="AC187" s="67" t="str">
        <f t="shared" si="179"/>
        <v>2,9827024136412-14,2180956271865i</v>
      </c>
      <c r="AD187" s="68">
        <f t="shared" si="180"/>
        <v>23.243869141287</v>
      </c>
      <c r="AE187" s="31">
        <f t="shared" si="181"/>
        <v>-78.152177074601</v>
      </c>
      <c r="AF187" s="32" t="str">
        <f t="shared" si="182"/>
        <v>326,048966736478</v>
      </c>
      <c r="AG187" s="32" t="str">
        <f t="shared" si="164"/>
        <v>1+2,58499170856381i</v>
      </c>
      <c r="AH187" s="32">
        <f t="shared" si="183"/>
        <v>2.77167496892108</v>
      </c>
      <c r="AI187" s="32">
        <f t="shared" si="184"/>
        <v>1.2016786625871</v>
      </c>
      <c r="AJ187" s="32" t="str">
        <f t="shared" si="165"/>
        <v>1+0,0482531785598578i</v>
      </c>
      <c r="AK187" s="32">
        <f t="shared" si="185"/>
        <v>1.00116350774543</v>
      </c>
      <c r="AL187" s="32">
        <f t="shared" si="186"/>
        <v>0.0482157803864438</v>
      </c>
      <c r="AM187" s="32" t="str">
        <f t="shared" si="166"/>
        <v>1-0,00796345423779211i</v>
      </c>
      <c r="AN187" s="32">
        <f t="shared" si="187"/>
        <v>1.00003170779901</v>
      </c>
      <c r="AO187" s="32">
        <f t="shared" si="188"/>
        <v>-0.00796328590579073</v>
      </c>
      <c r="AP187" s="30" t="str">
        <f t="shared" si="189"/>
        <v>46,8788416108849-108,044993885907i</v>
      </c>
      <c r="AQ187" s="32">
        <f t="shared" si="190"/>
        <v>41.4211862017817</v>
      </c>
      <c r="AR187" s="31">
        <f t="shared" si="191"/>
        <v>-66.5448176485511</v>
      </c>
      <c r="AS187" t="str">
        <f t="shared" si="167"/>
        <v>-0,000100699300699301</v>
      </c>
      <c r="AT187" t="str">
        <f t="shared" si="168"/>
        <v>0,00069148528204082i</v>
      </c>
      <c r="AU187">
        <f t="shared" si="192"/>
        <v>0.00069148528204082</v>
      </c>
      <c r="AV187">
        <f t="shared" si="193"/>
        <v>1.5707963267949</v>
      </c>
      <c r="AW187" t="str">
        <f t="shared" si="169"/>
        <v>1+0,0354027781308276i</v>
      </c>
      <c r="AX187">
        <f t="shared" si="194"/>
        <v>1.00062648210977</v>
      </c>
      <c r="AY187">
        <f t="shared" si="195"/>
        <v>0.03538799847403</v>
      </c>
      <c r="AZ187" t="str">
        <f t="shared" si="170"/>
        <v>1+1,69255409489297i</v>
      </c>
      <c r="BA187">
        <f t="shared" si="196"/>
        <v>1.96589403685421</v>
      </c>
      <c r="BB187">
        <f t="shared" si="197"/>
        <v>1.03715189862175</v>
      </c>
      <c r="BC187" s="30" t="str">
        <f t="shared" si="198"/>
        <v>-0,241024779955482+0,154160486996059i</v>
      </c>
      <c r="BD187" s="32">
        <f t="shared" si="199"/>
        <v>-10.8693674669505</v>
      </c>
      <c r="BE187" s="31">
        <f t="shared" si="200"/>
        <v>147.396843547029</v>
      </c>
      <c r="BF187" s="30" t="str">
        <f t="shared" si="201"/>
        <v>1,47296335312305+3,88672822657987i</v>
      </c>
      <c r="BG187" s="68">
        <f t="shared" si="202"/>
        <v>12.3745016743364</v>
      </c>
      <c r="BH187" s="31">
        <f t="shared" si="203"/>
        <v>69.2446664724281</v>
      </c>
      <c r="BI187" s="30" t="str">
        <f t="shared" si="209"/>
        <v>5,35730639110622+33,2683859291873i</v>
      </c>
      <c r="BJ187" s="68">
        <f t="shared" si="204"/>
        <v>30.5518187348312</v>
      </c>
      <c r="BK187" s="31">
        <f t="shared" si="210"/>
        <v>80.852025898478</v>
      </c>
      <c r="BL187" s="32">
        <f t="shared" si="205"/>
        <v>12.3745016743364</v>
      </c>
      <c r="BM187" s="31">
        <f t="shared" si="206"/>
        <v>69.2446664724281</v>
      </c>
      <c r="BO187">
        <f t="shared" si="207"/>
        <v>0</v>
      </c>
      <c r="BP187">
        <f t="shared" si="208"/>
        <v>0</v>
      </c>
    </row>
    <row r="188" spans="14:68">
      <c r="N188" s="7">
        <v>70</v>
      </c>
      <c r="O188" s="18">
        <f t="shared" si="211"/>
        <v>501.187233627273</v>
      </c>
      <c r="P188" s="86" t="str">
        <f t="shared" si="159"/>
        <v>60</v>
      </c>
      <c r="Q188" s="4" t="str">
        <f t="shared" si="160"/>
        <v>1+4,11476162296453i</v>
      </c>
      <c r="R188" s="4">
        <f t="shared" si="171"/>
        <v>4.23453223081626</v>
      </c>
      <c r="S188" s="4">
        <f t="shared" si="172"/>
        <v>1.33239075860953</v>
      </c>
      <c r="T188" s="4" t="str">
        <f t="shared" si="161"/>
        <v>1+0,0493771394755745i</v>
      </c>
      <c r="U188" s="4">
        <f t="shared" si="173"/>
        <v>1.00121830881321</v>
      </c>
      <c r="V188" s="4">
        <f t="shared" si="174"/>
        <v>0.0493370692438767</v>
      </c>
      <c r="W188" t="str">
        <f t="shared" si="162"/>
        <v>1-0,0688855182415938i</v>
      </c>
      <c r="X188" s="4">
        <f t="shared" si="175"/>
        <v>1.00236979933726</v>
      </c>
      <c r="Y188" s="4">
        <f t="shared" si="176"/>
        <v>-0.0687768685577155</v>
      </c>
      <c r="Z188" t="str">
        <f t="shared" si="163"/>
        <v>0,999997949480464+0,018380182593209i</v>
      </c>
      <c r="AA188" s="4">
        <f t="shared" si="177"/>
        <v>1.000166851119</v>
      </c>
      <c r="AB188" s="4">
        <f t="shared" si="178"/>
        <v>0.0183781508897501</v>
      </c>
      <c r="AC188" s="67" t="str">
        <f t="shared" si="179"/>
        <v>2,83281346024499-13,9326547899054i</v>
      </c>
      <c r="AD188" s="68">
        <f t="shared" si="180"/>
        <v>23.056602141087</v>
      </c>
      <c r="AE188" s="31">
        <f t="shared" si="181"/>
        <v>-78.5071760670618</v>
      </c>
      <c r="AF188" s="32" t="str">
        <f t="shared" si="182"/>
        <v>326,048966736478</v>
      </c>
      <c r="AG188" s="32" t="str">
        <f t="shared" si="164"/>
        <v>1+2,6452039004772i</v>
      </c>
      <c r="AH188" s="32">
        <f t="shared" si="183"/>
        <v>2.82791507565199</v>
      </c>
      <c r="AI188" s="32">
        <f t="shared" si="184"/>
        <v>1.20936076417479</v>
      </c>
      <c r="AJ188" s="32" t="str">
        <f t="shared" si="165"/>
        <v>1+0,0493771394755745i</v>
      </c>
      <c r="AK188" s="32">
        <f t="shared" si="185"/>
        <v>1.00121830881321</v>
      </c>
      <c r="AL188" s="32">
        <f t="shared" si="186"/>
        <v>0.0493370692438767</v>
      </c>
      <c r="AM188" s="32" t="str">
        <f t="shared" si="166"/>
        <v>1-0,00814894691588116i</v>
      </c>
      <c r="AN188" s="32">
        <f t="shared" si="187"/>
        <v>1.00003320211673</v>
      </c>
      <c r="AO188" s="32">
        <f t="shared" si="188"/>
        <v>-0.00814876654521542</v>
      </c>
      <c r="AP188" s="30" t="str">
        <f t="shared" si="189"/>
        <v>45,2336356474656-106,20977986294i</v>
      </c>
      <c r="AQ188" s="32">
        <f t="shared" si="190"/>
        <v>41.247193342252</v>
      </c>
      <c r="AR188" s="31">
        <f t="shared" si="191"/>
        <v>-66.9313517859911</v>
      </c>
      <c r="AS188" t="str">
        <f t="shared" si="167"/>
        <v>-0,000100699300699301</v>
      </c>
      <c r="AT188" t="str">
        <f t="shared" si="168"/>
        <v>0,000707592043377653i</v>
      </c>
      <c r="AU188">
        <f t="shared" si="192"/>
        <v>0.000707592043377653</v>
      </c>
      <c r="AV188">
        <f t="shared" si="193"/>
        <v>1.5707963267949</v>
      </c>
      <c r="AW188" t="str">
        <f t="shared" si="169"/>
        <v>1+0,0362274147685463i</v>
      </c>
      <c r="AX188">
        <f t="shared" si="194"/>
        <v>1.00065599762396</v>
      </c>
      <c r="AY188">
        <f t="shared" si="195"/>
        <v>0.0362115786416303</v>
      </c>
      <c r="AZ188" t="str">
        <f t="shared" si="170"/>
        <v>1+1,73197874436007i</v>
      </c>
      <c r="BA188">
        <f t="shared" si="196"/>
        <v>1.99993759175507</v>
      </c>
      <c r="BB188">
        <f t="shared" si="197"/>
        <v>1.04717953483221</v>
      </c>
      <c r="BC188" s="30" t="str">
        <f t="shared" si="198"/>
        <v>-0,241010561551929+0,151043842244175i</v>
      </c>
      <c r="BD188" s="32">
        <f t="shared" si="199"/>
        <v>-10.9204969043238</v>
      </c>
      <c r="BE188" s="31">
        <f t="shared" si="200"/>
        <v>147.924197112687</v>
      </c>
      <c r="BF188" s="30" t="str">
        <f t="shared" si="201"/>
        <v>1,42170374930351+3,78579598422069i</v>
      </c>
      <c r="BG188" s="68">
        <f t="shared" si="202"/>
        <v>12.1361052367632</v>
      </c>
      <c r="BH188" s="31">
        <f t="shared" si="203"/>
        <v>69.4170210456249</v>
      </c>
      <c r="BI188" s="30" t="str">
        <f t="shared" si="209"/>
        <v>5,14054930597543+32,4299408139402i</v>
      </c>
      <c r="BJ188" s="68">
        <f t="shared" si="204"/>
        <v>30.3266964379282</v>
      </c>
      <c r="BK188" s="31">
        <f t="shared" si="210"/>
        <v>80.9928453266957</v>
      </c>
      <c r="BL188" s="32">
        <f t="shared" si="205"/>
        <v>12.1361052367632</v>
      </c>
      <c r="BM188" s="31">
        <f t="shared" si="206"/>
        <v>69.4170210456249</v>
      </c>
      <c r="BO188">
        <f t="shared" si="207"/>
        <v>0</v>
      </c>
      <c r="BP188">
        <f t="shared" si="208"/>
        <v>0</v>
      </c>
    </row>
    <row r="189" spans="14:68">
      <c r="N189" s="7">
        <v>71</v>
      </c>
      <c r="O189" s="18">
        <f t="shared" si="211"/>
        <v>512.861383991365</v>
      </c>
      <c r="P189" s="86" t="str">
        <f t="shared" si="159"/>
        <v>60</v>
      </c>
      <c r="Q189" s="4" t="str">
        <f t="shared" si="160"/>
        <v>1+4,21060673368539i</v>
      </c>
      <c r="R189" s="4">
        <f t="shared" si="171"/>
        <v>4.32772562274421</v>
      </c>
      <c r="S189" s="4">
        <f t="shared" si="172"/>
        <v>1.33762081994124</v>
      </c>
      <c r="T189" s="4" t="str">
        <f t="shared" si="161"/>
        <v>1+0,0505272808042247i</v>
      </c>
      <c r="U189" s="4">
        <f t="shared" si="173"/>
        <v>1.00127568936106</v>
      </c>
      <c r="V189" s="4">
        <f t="shared" si="174"/>
        <v>0.0504843477313044</v>
      </c>
      <c r="W189" t="str">
        <f t="shared" si="162"/>
        <v>1-0,070490068086251i</v>
      </c>
      <c r="X189" s="4">
        <f t="shared" si="175"/>
        <v>1.00248134630965</v>
      </c>
      <c r="Y189" s="4">
        <f t="shared" si="176"/>
        <v>-0.0703736634102217</v>
      </c>
      <c r="Z189" t="str">
        <f t="shared" si="163"/>
        <v>0,999997852842456+0,0188083120444714i</v>
      </c>
      <c r="AA189" s="4">
        <f t="shared" si="177"/>
        <v>1.00017471388327</v>
      </c>
      <c r="AB189" s="4">
        <f t="shared" si="178"/>
        <v>0.0188061350555303</v>
      </c>
      <c r="AC189" s="67" t="str">
        <f t="shared" si="179"/>
        <v>2,68893039919625-13,6514971226157i</v>
      </c>
      <c r="AD189" s="68">
        <f t="shared" si="180"/>
        <v>22.868912659459</v>
      </c>
      <c r="AE189" s="31">
        <f t="shared" si="181"/>
        <v>-78.8571135849021</v>
      </c>
      <c r="AF189" s="32" t="str">
        <f t="shared" si="182"/>
        <v>326,048966736478</v>
      </c>
      <c r="AG189" s="32" t="str">
        <f t="shared" si="164"/>
        <v>1+2,70681861451204i</v>
      </c>
      <c r="AH189" s="32">
        <f t="shared" si="183"/>
        <v>2.88563112886399</v>
      </c>
      <c r="AI189" s="32">
        <f t="shared" si="184"/>
        <v>1.21691136282998</v>
      </c>
      <c r="AJ189" s="32" t="str">
        <f t="shared" si="165"/>
        <v>1+0,0505272808042247i</v>
      </c>
      <c r="AK189" s="32">
        <f t="shared" si="185"/>
        <v>1.00127568936106</v>
      </c>
      <c r="AL189" s="32">
        <f t="shared" si="186"/>
        <v>0.0504843477313044</v>
      </c>
      <c r="AM189" s="32" t="str">
        <f t="shared" si="166"/>
        <v>1-0,00833876027348905i</v>
      </c>
      <c r="AN189" s="32">
        <f t="shared" si="187"/>
        <v>1.00003476685708</v>
      </c>
      <c r="AO189" s="32">
        <f t="shared" si="188"/>
        <v>-0.00833856700320151</v>
      </c>
      <c r="AP189" s="30" t="str">
        <f t="shared" si="189"/>
        <v>43,6442721082384-104,381604632221i</v>
      </c>
      <c r="AQ189" s="32">
        <f t="shared" si="190"/>
        <v>41.0722156900509</v>
      </c>
      <c r="AR189" s="31">
        <f t="shared" si="191"/>
        <v>-67.3091097716671</v>
      </c>
      <c r="AS189" t="str">
        <f t="shared" si="167"/>
        <v>-0,000100699300699301</v>
      </c>
      <c r="AT189" t="str">
        <f t="shared" si="168"/>
        <v>0,00072407397938197i</v>
      </c>
      <c r="AU189">
        <f t="shared" si="192"/>
        <v>0.00072407397938197</v>
      </c>
      <c r="AV189">
        <f t="shared" si="193"/>
        <v>1.5707963267949</v>
      </c>
      <c r="AW189" t="str">
        <f t="shared" si="169"/>
        <v>1+0,0370712596611017i</v>
      </c>
      <c r="AX189">
        <f t="shared" si="194"/>
        <v>1.00068690322841</v>
      </c>
      <c r="AY189">
        <f t="shared" si="195"/>
        <v>0.0370542915744159</v>
      </c>
      <c r="AZ189" t="str">
        <f t="shared" si="170"/>
        <v>1+1,77232171188288i</v>
      </c>
      <c r="BA189">
        <f t="shared" si="196"/>
        <v>2.03497524565078</v>
      </c>
      <c r="BB189">
        <f t="shared" si="197"/>
        <v>1.05709240410672</v>
      </c>
      <c r="BC189" s="30" t="str">
        <f t="shared" si="198"/>
        <v>-0,240995674853531+0,148007234439073i</v>
      </c>
      <c r="BD189" s="32">
        <f t="shared" si="199"/>
        <v>-10.9699114275348</v>
      </c>
      <c r="BE189" s="31">
        <f t="shared" si="200"/>
        <v>148.443878790591</v>
      </c>
      <c r="BF189" s="30" t="str">
        <f t="shared" si="201"/>
        <v>1,37249973888284+3,68793291381i</v>
      </c>
      <c r="BG189" s="68">
        <f t="shared" si="202"/>
        <v>11.8990012319242</v>
      </c>
      <c r="BH189" s="31">
        <f t="shared" si="203"/>
        <v>69.5867652056892</v>
      </c>
      <c r="BI189" s="30" t="str">
        <f t="shared" si="209"/>
        <v>4,93115181771171+31,6151832644833i</v>
      </c>
      <c r="BJ189" s="68">
        <f t="shared" si="204"/>
        <v>30.1023042625161</v>
      </c>
      <c r="BK189" s="31">
        <f t="shared" si="210"/>
        <v>81.1347690189243</v>
      </c>
      <c r="BL189" s="32">
        <f t="shared" si="205"/>
        <v>11.8990012319242</v>
      </c>
      <c r="BM189" s="31">
        <f t="shared" si="206"/>
        <v>69.5867652056892</v>
      </c>
      <c r="BO189">
        <f t="shared" si="207"/>
        <v>0</v>
      </c>
      <c r="BP189">
        <f t="shared" si="208"/>
        <v>0</v>
      </c>
    </row>
    <row r="190" spans="14:68">
      <c r="N190" s="7">
        <v>72</v>
      </c>
      <c r="O190" s="18">
        <f t="shared" si="211"/>
        <v>524.807460249772</v>
      </c>
      <c r="P190" s="86" t="str">
        <f t="shared" si="159"/>
        <v>60</v>
      </c>
      <c r="Q190" s="4" t="str">
        <f t="shared" si="160"/>
        <v>1+4,30868436383041i</v>
      </c>
      <c r="R190" s="4">
        <f t="shared" si="171"/>
        <v>4.42320708842766</v>
      </c>
      <c r="S190" s="4">
        <f t="shared" si="172"/>
        <v>1.34274441586995</v>
      </c>
      <c r="T190" s="4" t="str">
        <f t="shared" si="161"/>
        <v>1+0,051704212365965i</v>
      </c>
      <c r="U190" s="4">
        <f t="shared" si="173"/>
        <v>1.00133577064658</v>
      </c>
      <c r="V190" s="4">
        <f t="shared" si="174"/>
        <v>0.0516582120632828</v>
      </c>
      <c r="W190" t="str">
        <f t="shared" si="162"/>
        <v>1-0,0721319926980538i</v>
      </c>
      <c r="X190" s="4">
        <f t="shared" si="175"/>
        <v>1.00259813702729</v>
      </c>
      <c r="Y190" s="4">
        <f t="shared" si="176"/>
        <v>-0.0720072802908741</v>
      </c>
      <c r="Z190" t="str">
        <f t="shared" si="163"/>
        <v>0,999997751650038+0,0192464139117373i</v>
      </c>
      <c r="AA190" s="4">
        <f t="shared" si="177"/>
        <v>1.00018294714197</v>
      </c>
      <c r="AB190" s="4">
        <f t="shared" si="178"/>
        <v>0.0192440812491026</v>
      </c>
      <c r="AC190" s="67" t="str">
        <f t="shared" si="179"/>
        <v>2,55084255268431-13,3746587933821i</v>
      </c>
      <c r="AD190" s="68">
        <f t="shared" si="180"/>
        <v>22.6808231162779</v>
      </c>
      <c r="AE190" s="31">
        <f t="shared" si="181"/>
        <v>-79.2021083567524</v>
      </c>
      <c r="AF190" s="32" t="str">
        <f t="shared" si="182"/>
        <v>326,048966736478</v>
      </c>
      <c r="AG190" s="32" t="str">
        <f t="shared" si="164"/>
        <v>1+2,76986851960527i</v>
      </c>
      <c r="AH190" s="32">
        <f t="shared" si="183"/>
        <v>2.94485510949186</v>
      </c>
      <c r="AI190" s="32">
        <f t="shared" si="184"/>
        <v>1.22433101721378</v>
      </c>
      <c r="AJ190" s="32" t="str">
        <f t="shared" si="165"/>
        <v>1+0,051704212365965i</v>
      </c>
      <c r="AK190" s="32">
        <f t="shared" si="185"/>
        <v>1.00133577064658</v>
      </c>
      <c r="AL190" s="32">
        <f t="shared" si="186"/>
        <v>0.0516582120632828</v>
      </c>
      <c r="AM190" s="32" t="str">
        <f t="shared" si="166"/>
        <v>1-0,00853299495217048i</v>
      </c>
      <c r="AN190" s="32">
        <f t="shared" si="187"/>
        <v>1.00003640533875</v>
      </c>
      <c r="AO190" s="32">
        <f t="shared" si="188"/>
        <v>-0.00853278785973342</v>
      </c>
      <c r="AP190" s="30" t="str">
        <f t="shared" si="189"/>
        <v>42,109555798406-102,562002150043i</v>
      </c>
      <c r="AQ190" s="32">
        <f t="shared" si="190"/>
        <v>40.8962887497353</v>
      </c>
      <c r="AR190" s="31">
        <f t="shared" si="191"/>
        <v>-67.6780952167338</v>
      </c>
      <c r="AS190" t="str">
        <f t="shared" si="167"/>
        <v>-0,000100699300699301</v>
      </c>
      <c r="AT190" t="str">
        <f t="shared" si="168"/>
        <v>0,000740939828994409i</v>
      </c>
      <c r="AU190">
        <f t="shared" si="192"/>
        <v>0.000740939828994409</v>
      </c>
      <c r="AV190">
        <f t="shared" si="193"/>
        <v>1.5707963267949</v>
      </c>
      <c r="AW190" t="str">
        <f t="shared" si="169"/>
        <v>1+0,0379347602262255i</v>
      </c>
      <c r="AX190">
        <f t="shared" si="194"/>
        <v>1.00071926434611</v>
      </c>
      <c r="AY190">
        <f t="shared" si="195"/>
        <v>0.0379165792994825</v>
      </c>
      <c r="AZ190" t="str">
        <f t="shared" si="170"/>
        <v>1+1,81360438783678i</v>
      </c>
      <c r="BA190">
        <f t="shared" si="196"/>
        <v>2.0710289412707</v>
      </c>
      <c r="BB190">
        <f t="shared" si="197"/>
        <v>1.06688796903002</v>
      </c>
      <c r="BC190" s="30" t="str">
        <f t="shared" si="198"/>
        <v>-0,240980088537612+0,145049050072219i</v>
      </c>
      <c r="BD190" s="32">
        <f t="shared" si="199"/>
        <v>-11.0176515696383</v>
      </c>
      <c r="BE190" s="31">
        <f t="shared" si="200"/>
        <v>148.955717871271</v>
      </c>
      <c r="BF190" s="30" t="str">
        <f t="shared" si="201"/>
        <v>1,32527928882875+3,59302374934022i</v>
      </c>
      <c r="BG190" s="68">
        <f t="shared" si="202"/>
        <v>11.6631715466396</v>
      </c>
      <c r="BH190" s="31">
        <f t="shared" si="203"/>
        <v>69.7536095145182</v>
      </c>
      <c r="BI190" s="30" t="str">
        <f t="shared" si="209"/>
        <v>4,72895650078923+30,823351426234i</v>
      </c>
      <c r="BJ190" s="68">
        <f t="shared" si="204"/>
        <v>29.878637180097</v>
      </c>
      <c r="BK190" s="31">
        <f t="shared" si="210"/>
        <v>81.2776226545368</v>
      </c>
      <c r="BL190" s="32">
        <f t="shared" si="205"/>
        <v>11.6631715466396</v>
      </c>
      <c r="BM190" s="31">
        <f t="shared" si="206"/>
        <v>69.7536095145182</v>
      </c>
      <c r="BO190">
        <f t="shared" si="207"/>
        <v>0</v>
      </c>
      <c r="BP190">
        <f t="shared" si="208"/>
        <v>0</v>
      </c>
    </row>
    <row r="191" spans="14:68">
      <c r="N191" s="7">
        <v>73</v>
      </c>
      <c r="O191" s="18">
        <f t="shared" si="211"/>
        <v>537.031796370253</v>
      </c>
      <c r="P191" s="86" t="str">
        <f t="shared" si="159"/>
        <v>60</v>
      </c>
      <c r="Q191" s="4" t="str">
        <f t="shared" si="160"/>
        <v>1+4,40904651545732i</v>
      </c>
      <c r="R191" s="4">
        <f t="shared" si="171"/>
        <v>4.52102766807131</v>
      </c>
      <c r="S191" s="4">
        <f t="shared" si="172"/>
        <v>1.34776318651144</v>
      </c>
      <c r="T191" s="4" t="str">
        <f t="shared" si="161"/>
        <v>1+0,0529085581854879i</v>
      </c>
      <c r="U191" s="4">
        <f t="shared" si="173"/>
        <v>1.0013986796123</v>
      </c>
      <c r="V191" s="4">
        <f t="shared" si="174"/>
        <v>0.0528592716905927</v>
      </c>
      <c r="W191" t="str">
        <f t="shared" si="162"/>
        <v>1-0,073812162647165i</v>
      </c>
      <c r="X191" s="4">
        <f t="shared" si="175"/>
        <v>1.00272041734207</v>
      </c>
      <c r="Y191" s="4">
        <f t="shared" si="176"/>
        <v>-0.0736785504682745</v>
      </c>
      <c r="Z191" t="str">
        <f t="shared" si="163"/>
        <v>0,999997645688569+0,0196947204824156i</v>
      </c>
      <c r="AA191" s="4">
        <f t="shared" si="177"/>
        <v>1.00019156834956</v>
      </c>
      <c r="AB191" s="4">
        <f t="shared" si="178"/>
        <v>0.019692221015224</v>
      </c>
      <c r="AC191" s="67" t="str">
        <f t="shared" si="179"/>
        <v>2,41834407185639-13,1021680879029i</v>
      </c>
      <c r="AD191" s="68">
        <f t="shared" si="180"/>
        <v>22.4923553789969</v>
      </c>
      <c r="AE191" s="31">
        <f t="shared" si="181"/>
        <v>-79.5422803300873</v>
      </c>
      <c r="AF191" s="32" t="str">
        <f t="shared" si="182"/>
        <v>326,048966736478</v>
      </c>
      <c r="AG191" s="32" t="str">
        <f t="shared" si="164"/>
        <v>1+2,83438704565114i</v>
      </c>
      <c r="AH191" s="32">
        <f t="shared" si="183"/>
        <v>3.00561972387643</v>
      </c>
      <c r="AI191" s="32">
        <f t="shared" si="184"/>
        <v>1.23162039265662</v>
      </c>
      <c r="AJ191" s="32" t="str">
        <f t="shared" si="165"/>
        <v>1+0,0529085581854879i</v>
      </c>
      <c r="AK191" s="32">
        <f t="shared" si="185"/>
        <v>1.0013986796123</v>
      </c>
      <c r="AL191" s="32">
        <f t="shared" si="186"/>
        <v>0.0528592716905927</v>
      </c>
      <c r="AM191" s="32" t="str">
        <f t="shared" si="166"/>
        <v>1-0,00873175393772311i</v>
      </c>
      <c r="AN191" s="32">
        <f t="shared" si="187"/>
        <v>1.00003812103681</v>
      </c>
      <c r="AO191" s="32">
        <f t="shared" si="188"/>
        <v>-0.00873153203463569</v>
      </c>
      <c r="AP191" s="30" t="str">
        <f t="shared" si="189"/>
        <v>40,6282604023972-100,752413593193i</v>
      </c>
      <c r="AQ191" s="32">
        <f t="shared" si="190"/>
        <v>40.7194473213059</v>
      </c>
      <c r="AR191" s="31">
        <f t="shared" si="191"/>
        <v>-68.0383172197314</v>
      </c>
      <c r="AS191" t="str">
        <f t="shared" si="167"/>
        <v>-0,000100699300699301</v>
      </c>
      <c r="AT191" t="str">
        <f t="shared" si="168"/>
        <v>0,00075819853471168i</v>
      </c>
      <c r="AU191">
        <f t="shared" si="192"/>
        <v>0.00075819853471168</v>
      </c>
      <c r="AV191">
        <f t="shared" si="193"/>
        <v>1.5707963267949</v>
      </c>
      <c r="AW191" t="str">
        <f t="shared" si="169"/>
        <v>1+0,0388183743033473i</v>
      </c>
      <c r="AX191">
        <f t="shared" si="194"/>
        <v>1.00075314947471</v>
      </c>
      <c r="AY191">
        <f t="shared" si="195"/>
        <v>0.0387988938811041</v>
      </c>
      <c r="AZ191" t="str">
        <f t="shared" si="170"/>
        <v>1+1,855848660843i</v>
      </c>
      <c r="BA191">
        <f t="shared" si="196"/>
        <v>2.10812102402892</v>
      </c>
      <c r="BB191">
        <f t="shared" si="197"/>
        <v>1.07656390331137</v>
      </c>
      <c r="BC191" s="30" t="str">
        <f t="shared" si="198"/>
        <v>-0,240963769821949+0,142167716970017i</v>
      </c>
      <c r="BD191" s="32">
        <f t="shared" si="199"/>
        <v>-11.0637582450619</v>
      </c>
      <c r="BE191" s="31">
        <f t="shared" si="200"/>
        <v>149.459555166708</v>
      </c>
      <c r="BF191" s="30" t="str">
        <f t="shared" si="201"/>
        <v>1,27997202013349+3,50095827084572i</v>
      </c>
      <c r="BG191" s="68">
        <f t="shared" si="202"/>
        <v>11.428597133935</v>
      </c>
      <c r="BH191" s="31">
        <f t="shared" si="203"/>
        <v>69.9172748366209</v>
      </c>
      <c r="BI191" s="30" t="str">
        <f t="shared" si="209"/>
        <v>4,53380183189371+30,0537084239481i</v>
      </c>
      <c r="BJ191" s="68">
        <f t="shared" si="204"/>
        <v>29.655689076244</v>
      </c>
      <c r="BK191" s="31">
        <f t="shared" si="210"/>
        <v>81.4212379469768</v>
      </c>
      <c r="BL191" s="32">
        <f t="shared" si="205"/>
        <v>11.428597133935</v>
      </c>
      <c r="BM191" s="31">
        <f t="shared" si="206"/>
        <v>69.9172748366209</v>
      </c>
      <c r="BO191">
        <f t="shared" si="207"/>
        <v>0</v>
      </c>
      <c r="BP191">
        <f t="shared" si="208"/>
        <v>0</v>
      </c>
    </row>
    <row r="192" spans="14:68">
      <c r="N192" s="7">
        <v>74</v>
      </c>
      <c r="O192" s="18">
        <f t="shared" si="211"/>
        <v>549.540873857625</v>
      </c>
      <c r="P192" s="86" t="str">
        <f t="shared" si="159"/>
        <v>60</v>
      </c>
      <c r="Q192" s="4" t="str">
        <f t="shared" si="160"/>
        <v>1+4,51174640190736i</v>
      </c>
      <c r="R192" s="4">
        <f t="shared" si="171"/>
        <v>4.62123961671801</v>
      </c>
      <c r="S192" s="4">
        <f t="shared" si="172"/>
        <v>1.35267878112608</v>
      </c>
      <c r="T192" s="4" t="str">
        <f t="shared" si="161"/>
        <v>1+0,0541409568228884i</v>
      </c>
      <c r="U192" s="4">
        <f t="shared" si="173"/>
        <v>1.00146454915074</v>
      </c>
      <c r="V192" s="4">
        <f t="shared" si="174"/>
        <v>0.0540881495624304</v>
      </c>
      <c r="W192" t="str">
        <f t="shared" si="162"/>
        <v>1-0,0755314687819313i</v>
      </c>
      <c r="X192" s="4">
        <f t="shared" si="175"/>
        <v>1.00284844456994</v>
      </c>
      <c r="Y192" s="4">
        <f t="shared" si="176"/>
        <v>-0.075388322706274</v>
      </c>
      <c r="Z192" t="str">
        <f t="shared" si="163"/>
        <v>0,999997534733289+0,0201534694545842i</v>
      </c>
      <c r="AA192" s="4">
        <f t="shared" si="177"/>
        <v>1.00020059578252</v>
      </c>
      <c r="AB192" s="4">
        <f t="shared" si="178"/>
        <v>0.0201507912562437</v>
      </c>
      <c r="AC192" s="67" t="str">
        <f t="shared" si="179"/>
        <v>2,29123405582946-12,8340458918558i</v>
      </c>
      <c r="AD192" s="68">
        <f t="shared" si="180"/>
        <v>22.3035307849622</v>
      </c>
      <c r="AE192" s="31">
        <f t="shared" si="181"/>
        <v>-79.877750512297</v>
      </c>
      <c r="AF192" s="32" t="str">
        <f t="shared" si="182"/>
        <v>326,048966736478</v>
      </c>
      <c r="AG192" s="32" t="str">
        <f t="shared" si="164"/>
        <v>1+2,90040840122616i</v>
      </c>
      <c r="AH192" s="32">
        <f t="shared" si="183"/>
        <v>3.06795842440918</v>
      </c>
      <c r="AI192" s="32">
        <f t="shared" si="184"/>
        <v>1.23878025455808</v>
      </c>
      <c r="AJ192" s="32" t="str">
        <f t="shared" si="165"/>
        <v>1+0,0541409568228884i</v>
      </c>
      <c r="AK192" s="32">
        <f t="shared" si="185"/>
        <v>1.00146454915074</v>
      </c>
      <c r="AL192" s="32">
        <f t="shared" si="186"/>
        <v>0.0540881495624304</v>
      </c>
      <c r="AM192" s="32" t="str">
        <f t="shared" si="166"/>
        <v>1-0,00893514261479195i</v>
      </c>
      <c r="AN192" s="32">
        <f t="shared" si="187"/>
        <v>1.00003991759007</v>
      </c>
      <c r="AO192" s="32">
        <f t="shared" si="188"/>
        <v>-0.00893490484186248</v>
      </c>
      <c r="AP192" s="30" t="str">
        <f t="shared" si="189"/>
        <v>39,1991341510982-98,9541889996054i</v>
      </c>
      <c r="AQ192" s="32">
        <f t="shared" si="190"/>
        <v>40.541725484914</v>
      </c>
      <c r="AR192" s="31">
        <f t="shared" si="191"/>
        <v>-68.3897899765097</v>
      </c>
      <c r="AS192" t="str">
        <f t="shared" si="167"/>
        <v>-0,000100699300699301</v>
      </c>
      <c r="AT192" t="str">
        <f t="shared" si="168"/>
        <v>0,000775859247327998i</v>
      </c>
      <c r="AU192">
        <f t="shared" si="192"/>
        <v>0.000775859247327998</v>
      </c>
      <c r="AV192">
        <f t="shared" si="193"/>
        <v>1.5707963267949</v>
      </c>
      <c r="AW192" t="str">
        <f t="shared" si="169"/>
        <v>1+0,0397225703963466i</v>
      </c>
      <c r="AX192">
        <f t="shared" si="194"/>
        <v>1.00078863033055</v>
      </c>
      <c r="AY192">
        <f t="shared" si="195"/>
        <v>0.0397016976361079</v>
      </c>
      <c r="AZ192" t="str">
        <f t="shared" si="170"/>
        <v>1+1,89907692937427i</v>
      </c>
      <c r="BA192">
        <f t="shared" si="196"/>
        <v>2.14627425639912</v>
      </c>
      <c r="BB192">
        <f t="shared" si="197"/>
        <v>1.0861180893151</v>
      </c>
      <c r="BC192" s="30" t="str">
        <f t="shared" si="198"/>
        <v>-0,240946684397585+0,139361703442758i</v>
      </c>
      <c r="BD192" s="32">
        <f t="shared" si="199"/>
        <v>-11.1082726506836</v>
      </c>
      <c r="BE192" s="31">
        <f t="shared" si="200"/>
        <v>149.955242856515</v>
      </c>
      <c r="BF192" s="30" t="str">
        <f t="shared" si="201"/>
        <v>1,23650924862062+3,41163108605555i</v>
      </c>
      <c r="BG192" s="68">
        <f t="shared" si="202"/>
        <v>11.1952581342786</v>
      </c>
      <c r="BH192" s="31">
        <f t="shared" si="203"/>
        <v>70.0774923442177</v>
      </c>
      <c r="BI192" s="30" t="str">
        <f t="shared" si="209"/>
        <v>4,34552293681838+29,3055418554851i</v>
      </c>
      <c r="BJ192" s="68">
        <f t="shared" si="204"/>
        <v>29.4334528342304</v>
      </c>
      <c r="BK192" s="31">
        <f t="shared" si="210"/>
        <v>81.5654528800052</v>
      </c>
      <c r="BL192" s="32">
        <f t="shared" si="205"/>
        <v>11.1952581342786</v>
      </c>
      <c r="BM192" s="31">
        <f t="shared" si="206"/>
        <v>70.0774923442177</v>
      </c>
      <c r="BO192">
        <f t="shared" si="207"/>
        <v>0</v>
      </c>
      <c r="BP192">
        <f t="shared" si="208"/>
        <v>0</v>
      </c>
    </row>
    <row r="193" spans="14:68">
      <c r="N193" s="7">
        <v>75</v>
      </c>
      <c r="O193" s="18">
        <f t="shared" si="211"/>
        <v>562.341325190349</v>
      </c>
      <c r="P193" s="86" t="str">
        <f t="shared" si="159"/>
        <v>60</v>
      </c>
      <c r="Q193" s="4" t="str">
        <f t="shared" si="160"/>
        <v>1+4,61683847601971i</v>
      </c>
      <c r="R193" s="4">
        <f t="shared" si="171"/>
        <v>4.72389643341765</v>
      </c>
      <c r="S193" s="4">
        <f t="shared" si="172"/>
        <v>1.35749285538934</v>
      </c>
      <c r="T193" s="4" t="str">
        <f t="shared" si="161"/>
        <v>1+0,0554020617122365i</v>
      </c>
      <c r="U193" s="4">
        <f t="shared" si="173"/>
        <v>1.00153351838167</v>
      </c>
      <c r="V193" s="4">
        <f t="shared" si="174"/>
        <v>0.0553454823914633</v>
      </c>
      <c r="W193" t="str">
        <f t="shared" si="162"/>
        <v>1-0,0772908227012228i</v>
      </c>
      <c r="X193" s="4">
        <f t="shared" si="175"/>
        <v>1.00298248801952</v>
      </c>
      <c r="Y193" s="4">
        <f t="shared" si="176"/>
        <v>-0.0771374635406515</v>
      </c>
      <c r="Z193" t="str">
        <f t="shared" si="163"/>
        <v>0,999997418548849+0,0206229040630202i</v>
      </c>
      <c r="AA193" s="4">
        <f t="shared" si="177"/>
        <v>1.00021004857797</v>
      </c>
      <c r="AB193" s="4">
        <f t="shared" si="178"/>
        <v>0.0206200343543417</v>
      </c>
      <c r="AC193" s="67" t="str">
        <f t="shared" si="179"/>
        <v>2,169316643939-12,5703061574937i</v>
      </c>
      <c r="AD193" s="68">
        <f t="shared" si="180"/>
        <v>22.114370164344</v>
      </c>
      <c r="AE193" s="31">
        <f t="shared" si="181"/>
        <v>-80.2086408219678</v>
      </c>
      <c r="AF193" s="32" t="str">
        <f t="shared" si="182"/>
        <v>326,048966736478</v>
      </c>
      <c r="AG193" s="32" t="str">
        <f t="shared" si="164"/>
        <v>1+2,96796759172696i</v>
      </c>
      <c r="AH193" s="32">
        <f t="shared" si="183"/>
        <v>3.1319054304914</v>
      </c>
      <c r="AI193" s="32">
        <f t="shared" si="184"/>
        <v>1.24581146191424</v>
      </c>
      <c r="AJ193" s="32" t="str">
        <f t="shared" si="165"/>
        <v>1+0,0554020617122365i</v>
      </c>
      <c r="AK193" s="32">
        <f t="shared" si="185"/>
        <v>1.00153351838167</v>
      </c>
      <c r="AL193" s="32">
        <f t="shared" si="186"/>
        <v>0.0553454823914633</v>
      </c>
      <c r="AM193" s="32" t="str">
        <f t="shared" si="166"/>
        <v>1-0,00914326882274573i</v>
      </c>
      <c r="AN193" s="32">
        <f t="shared" si="187"/>
        <v>1.00004179880881</v>
      </c>
      <c r="AO193" s="32">
        <f t="shared" si="188"/>
        <v>-0.00914301404503668</v>
      </c>
      <c r="AP193" s="30" t="str">
        <f t="shared" si="189"/>
        <v>37,8209051596665-97,168589179574i</v>
      </c>
      <c r="AQ193" s="32">
        <f t="shared" si="190"/>
        <v>40.3631565891037</v>
      </c>
      <c r="AR193" s="31">
        <f t="shared" si="191"/>
        <v>-68.7325323973718</v>
      </c>
      <c r="AS193" t="str">
        <f t="shared" si="167"/>
        <v>-0,000100699300699301</v>
      </c>
      <c r="AT193" t="str">
        <f t="shared" si="168"/>
        <v>0,000793931330786961i</v>
      </c>
      <c r="AU193">
        <f t="shared" si="192"/>
        <v>0.000793931330786961</v>
      </c>
      <c r="AV193">
        <f t="shared" si="193"/>
        <v>1.5707963267949</v>
      </c>
      <c r="AW193" t="str">
        <f t="shared" si="169"/>
        <v>1+0,0406478279219604i</v>
      </c>
      <c r="AX193">
        <f t="shared" si="194"/>
        <v>1.00082578199943</v>
      </c>
      <c r="AY193">
        <f t="shared" si="195"/>
        <v>0.0406254633529619</v>
      </c>
      <c r="AZ193" t="str">
        <f t="shared" si="170"/>
        <v>1+1,94331211363074i</v>
      </c>
      <c r="BA193">
        <f t="shared" si="196"/>
        <v>2.18551183272568</v>
      </c>
      <c r="BB193">
        <f t="shared" si="197"/>
        <v>1.0955486149369</v>
      </c>
      <c r="BC193" s="30" t="str">
        <f t="shared" si="198"/>
        <v>-0,240928796358621+0,136629517453803i</v>
      </c>
      <c r="BD193" s="32">
        <f t="shared" si="199"/>
        <v>-11.1512361708631</v>
      </c>
      <c r="BE193" s="31">
        <f t="shared" si="200"/>
        <v>150.442644296399</v>
      </c>
      <c r="BF193" s="30" t="str">
        <f t="shared" si="201"/>
        <v>1,19482401659999+3,32494141865021i</v>
      </c>
      <c r="BG193" s="68">
        <f t="shared" si="202"/>
        <v>10.9631339934809</v>
      </c>
      <c r="BH193" s="31">
        <f t="shared" si="203"/>
        <v>70.2340034744311</v>
      </c>
      <c r="BI193" s="30" t="str">
        <f t="shared" si="209"/>
        <v>4,16395229396001+28,5781632565314i</v>
      </c>
      <c r="BJ193" s="68">
        <f t="shared" si="204"/>
        <v>29.2119204182406</v>
      </c>
      <c r="BK193" s="31">
        <f t="shared" si="210"/>
        <v>81.7101118990272</v>
      </c>
      <c r="BL193" s="32">
        <f t="shared" si="205"/>
        <v>10.9631339934809</v>
      </c>
      <c r="BM193" s="31">
        <f t="shared" si="206"/>
        <v>70.2340034744311</v>
      </c>
      <c r="BO193">
        <f t="shared" si="207"/>
        <v>0</v>
      </c>
      <c r="BP193">
        <f t="shared" si="208"/>
        <v>0</v>
      </c>
    </row>
    <row r="194" spans="14:68">
      <c r="N194" s="7">
        <v>76</v>
      </c>
      <c r="O194" s="18">
        <f t="shared" si="211"/>
        <v>575.439937337157</v>
      </c>
      <c r="P194" s="86" t="str">
        <f t="shared" si="159"/>
        <v>60</v>
      </c>
      <c r="Q194" s="4" t="str">
        <f t="shared" si="160"/>
        <v>1+4,72437845900313i</v>
      </c>
      <c r="R194" s="4">
        <f t="shared" si="171"/>
        <v>4.82905289098109</v>
      </c>
      <c r="S194" s="4">
        <f t="shared" si="172"/>
        <v>1.3622070688365</v>
      </c>
      <c r="T194" s="4" t="str">
        <f t="shared" si="161"/>
        <v>1+0,0566925415080376i</v>
      </c>
      <c r="U194" s="4">
        <f t="shared" si="173"/>
        <v>1.00160573294218</v>
      </c>
      <c r="V194" s="4">
        <f t="shared" si="174"/>
        <v>0.0566319209215935</v>
      </c>
      <c r="W194" t="str">
        <f t="shared" si="162"/>
        <v>1-0,0790911572377756i</v>
      </c>
      <c r="X194" s="4">
        <f t="shared" si="175"/>
        <v>1.00312282954442</v>
      </c>
      <c r="Y194" s="4">
        <f t="shared" si="176"/>
        <v>-0.0789268575532078</v>
      </c>
      <c r="Z194" t="str">
        <f t="shared" si="163"/>
        <v>0,999997296888804+0,0211032732081669i</v>
      </c>
      <c r="AA194" s="4">
        <f t="shared" si="177"/>
        <v>1.00021994677421</v>
      </c>
      <c r="AB194" s="4">
        <f t="shared" si="178"/>
        <v>0.0211001982964345</v>
      </c>
      <c r="AC194" s="67" t="str">
        <f t="shared" si="179"/>
        <v>2,05240108341411-12,3109563539016i</v>
      </c>
      <c r="AD194" s="68">
        <f t="shared" si="180"/>
        <v>21.9248938636094</v>
      </c>
      <c r="AE194" s="31">
        <f t="shared" si="181"/>
        <v>-80.5350739499962</v>
      </c>
      <c r="AF194" s="32" t="str">
        <f t="shared" si="182"/>
        <v>326,048966736478</v>
      </c>
      <c r="AG194" s="32" t="str">
        <f t="shared" si="164"/>
        <v>1+3,03710043793058i</v>
      </c>
      <c r="AH194" s="32">
        <f t="shared" si="183"/>
        <v>3.19749574981393</v>
      </c>
      <c r="AI194" s="32">
        <f t="shared" si="184"/>
        <v>1.25271496099084</v>
      </c>
      <c r="AJ194" s="32" t="str">
        <f t="shared" si="165"/>
        <v>1+0,0566925415080376i</v>
      </c>
      <c r="AK194" s="32">
        <f t="shared" si="185"/>
        <v>1.00160573294218</v>
      </c>
      <c r="AL194" s="32">
        <f t="shared" si="186"/>
        <v>0.0566319209215935</v>
      </c>
      <c r="AM194" s="32" t="str">
        <f t="shared" si="166"/>
        <v>1-0,00935624291285482i</v>
      </c>
      <c r="AN194" s="32">
        <f t="shared" si="187"/>
        <v>1.00004376868287</v>
      </c>
      <c r="AO194" s="32">
        <f t="shared" si="188"/>
        <v>-0.00935596991426633</v>
      </c>
      <c r="AP194" s="30" t="str">
        <f t="shared" si="189"/>
        <v>36,4922864333827-95,396787861826i</v>
      </c>
      <c r="AQ194" s="32">
        <f t="shared" si="190"/>
        <v>40.1837732423843</v>
      </c>
      <c r="AR194" s="31">
        <f t="shared" si="191"/>
        <v>-69.0665677324833</v>
      </c>
      <c r="AS194" t="str">
        <f t="shared" si="167"/>
        <v>-0,000100699300699301</v>
      </c>
      <c r="AT194" t="str">
        <f t="shared" si="168"/>
        <v>0,00081242436714643i</v>
      </c>
      <c r="AU194">
        <f t="shared" si="192"/>
        <v>0.00081242436714643</v>
      </c>
      <c r="AV194">
        <f t="shared" si="193"/>
        <v>1.5707963267949</v>
      </c>
      <c r="AW194" t="str">
        <f t="shared" si="169"/>
        <v>1+0,0415946374639761i</v>
      </c>
      <c r="AX194">
        <f t="shared" si="194"/>
        <v>1.00086468309445</v>
      </c>
      <c r="AY194">
        <f t="shared" si="195"/>
        <v>0.041570674514568</v>
      </c>
      <c r="AZ194" t="str">
        <f t="shared" si="170"/>
        <v>1+1,98857766769264i</v>
      </c>
      <c r="BA194">
        <f t="shared" si="196"/>
        <v>2.22585739445408</v>
      </c>
      <c r="BB194">
        <f t="shared" si="197"/>
        <v>1.10485376988014</v>
      </c>
      <c r="BC194" s="30" t="str">
        <f t="shared" si="198"/>
        <v>-0,240910068128885+0,133969705808468i</v>
      </c>
      <c r="BD194" s="32">
        <f t="shared" si="199"/>
        <v>-11.1926902867252</v>
      </c>
      <c r="BE194" s="31">
        <f t="shared" si="200"/>
        <v>150.921633792053</v>
      </c>
      <c r="BF194" s="30" t="str">
        <f t="shared" si="201"/>
        <v>1,15485111612+3,24079290329613i</v>
      </c>
      <c r="BG194" s="68">
        <f t="shared" si="202"/>
        <v>10.7322035768842</v>
      </c>
      <c r="BH194" s="31">
        <f t="shared" si="203"/>
        <v>70.3865598420572</v>
      </c>
      <c r="BI194" s="30" t="str">
        <f t="shared" si="209"/>
        <v>3,98892039407665+27,8709075408279i</v>
      </c>
      <c r="BJ194" s="68">
        <f t="shared" si="204"/>
        <v>28.9910829556591</v>
      </c>
      <c r="BK194" s="31">
        <f t="shared" si="210"/>
        <v>81.8550660595701</v>
      </c>
      <c r="BL194" s="32">
        <f t="shared" si="205"/>
        <v>10.7322035768842</v>
      </c>
      <c r="BM194" s="31">
        <f t="shared" si="206"/>
        <v>70.3865598420572</v>
      </c>
      <c r="BO194">
        <f t="shared" si="207"/>
        <v>0</v>
      </c>
      <c r="BP194">
        <f t="shared" si="208"/>
        <v>0</v>
      </c>
    </row>
    <row r="195" spans="14:68">
      <c r="N195" s="7">
        <v>77</v>
      </c>
      <c r="O195" s="18">
        <f t="shared" si="211"/>
        <v>588.84365535559</v>
      </c>
      <c r="P195" s="86" t="str">
        <f t="shared" si="159"/>
        <v>60</v>
      </c>
      <c r="Q195" s="4" t="str">
        <f t="shared" si="160"/>
        <v>1+4,83442336998005i</v>
      </c>
      <c r="R195" s="4">
        <f t="shared" si="171"/>
        <v>4.93676506633739</v>
      </c>
      <c r="S195" s="4">
        <f t="shared" si="172"/>
        <v>1.36682308247541</v>
      </c>
      <c r="T195" s="4" t="str">
        <f t="shared" si="161"/>
        <v>1+0,0580130804397606i</v>
      </c>
      <c r="U195" s="4">
        <f t="shared" si="173"/>
        <v>1.00168134529006</v>
      </c>
      <c r="V195" s="4">
        <f t="shared" si="174"/>
        <v>0.0579481301982487</v>
      </c>
      <c r="W195" t="str">
        <f t="shared" si="162"/>
        <v>1-0,080933426952791i</v>
      </c>
      <c r="X195" s="4">
        <f t="shared" si="175"/>
        <v>1.00326976412046</v>
      </c>
      <c r="Y195" s="4">
        <f t="shared" si="176"/>
        <v>-0.0807574076426068</v>
      </c>
      <c r="Z195" t="str">
        <f t="shared" si="163"/>
        <v>0,999997169495098+0,0215948315881033i</v>
      </c>
      <c r="AA195" s="4">
        <f t="shared" si="177"/>
        <v>1.0002303113531</v>
      </c>
      <c r="AB195" s="4">
        <f t="shared" si="178"/>
        <v>0.0215915368017916</v>
      </c>
      <c r="AC195" s="67" t="str">
        <f t="shared" si="179"/>
        <v>1,94030177457435-12,0559979004888i</v>
      </c>
      <c r="AD195" s="68">
        <f t="shared" si="180"/>
        <v>21.7351217694708</v>
      </c>
      <c r="AE195" s="31">
        <f t="shared" si="181"/>
        <v>-80.8571732301515</v>
      </c>
      <c r="AF195" s="32" t="str">
        <f t="shared" si="182"/>
        <v>326,048966736478</v>
      </c>
      <c r="AG195" s="32" t="str">
        <f t="shared" si="164"/>
        <v>1+3,10784359498718i</v>
      </c>
      <c r="AH195" s="32">
        <f t="shared" si="183"/>
        <v>3.26476519996505</v>
      </c>
      <c r="AI195" s="32">
        <f t="shared" si="184"/>
        <v>1.25949177915774</v>
      </c>
      <c r="AJ195" s="32" t="str">
        <f t="shared" si="165"/>
        <v>1+0,0580130804397606i</v>
      </c>
      <c r="AK195" s="32">
        <f t="shared" si="185"/>
        <v>1.00168134529006</v>
      </c>
      <c r="AL195" s="32">
        <f t="shared" si="186"/>
        <v>0.0579481301982487</v>
      </c>
      <c r="AM195" s="32" t="str">
        <f t="shared" si="166"/>
        <v>1-0,0095741778068008i</v>
      </c>
      <c r="AN195" s="32">
        <f t="shared" si="187"/>
        <v>1.00004583139008</v>
      </c>
      <c r="AO195" s="32">
        <f t="shared" si="188"/>
        <v>-0.00957388528426698</v>
      </c>
      <c r="AP195" s="30" t="str">
        <f t="shared" si="189"/>
        <v>35,211980541888-93,6398740405945i</v>
      </c>
      <c r="AQ195" s="32">
        <f t="shared" si="190"/>
        <v>40.0036073079332</v>
      </c>
      <c r="AR195" s="31">
        <f t="shared" si="191"/>
        <v>-69.3919232064585</v>
      </c>
      <c r="AS195" t="str">
        <f t="shared" si="167"/>
        <v>-0,000100699300699301</v>
      </c>
      <c r="AT195" t="str">
        <f t="shared" si="168"/>
        <v>0,00083134816165907i</v>
      </c>
      <c r="AU195">
        <f t="shared" si="192"/>
        <v>0.00083134816165907</v>
      </c>
      <c r="AV195">
        <f t="shared" si="193"/>
        <v>1.5707963267949</v>
      </c>
      <c r="AW195" t="str">
        <f t="shared" si="169"/>
        <v>1+0,0425635010333452i</v>
      </c>
      <c r="AX195">
        <f t="shared" si="194"/>
        <v>1.00090541592111</v>
      </c>
      <c r="AY195">
        <f t="shared" si="195"/>
        <v>0.0425378255247484</v>
      </c>
      <c r="AZ195" t="str">
        <f t="shared" si="170"/>
        <v>1+2,03489759195589i</v>
      </c>
      <c r="BA195">
        <f t="shared" si="196"/>
        <v>2.26733504576361</v>
      </c>
      <c r="BB195">
        <f t="shared" si="197"/>
        <v>1.1140320413875</v>
      </c>
      <c r="BC195" s="30" t="str">
        <f t="shared" si="198"/>
        <v>-0,240890460385305+0,131380853362097i</v>
      </c>
      <c r="BD195" s="32">
        <f t="shared" si="199"/>
        <v>-11.2326764899463</v>
      </c>
      <c r="BE195" s="31">
        <f t="shared" si="200"/>
        <v>151.392096341615</v>
      </c>
      <c r="BF195" s="30" t="str">
        <f t="shared" si="201"/>
        <v>1,11652710453423+3,15909338757659i</v>
      </c>
      <c r="BG195" s="68">
        <f t="shared" si="202"/>
        <v>10.5024452795245</v>
      </c>
      <c r="BH195" s="31">
        <f t="shared" si="203"/>
        <v>70.5349231114638</v>
      </c>
      <c r="BI195" s="30" t="str">
        <f t="shared" si="209"/>
        <v>3,82025635635878+27,1831324202236i</v>
      </c>
      <c r="BJ195" s="68">
        <f t="shared" si="204"/>
        <v>28.7709308179868</v>
      </c>
      <c r="BK195" s="31">
        <f t="shared" si="210"/>
        <v>82.0001731351567</v>
      </c>
      <c r="BL195" s="32">
        <f t="shared" si="205"/>
        <v>10.5024452795245</v>
      </c>
      <c r="BM195" s="31">
        <f t="shared" si="206"/>
        <v>70.5349231114638</v>
      </c>
      <c r="BO195">
        <f t="shared" si="207"/>
        <v>0</v>
      </c>
      <c r="BP195">
        <f t="shared" si="208"/>
        <v>0</v>
      </c>
    </row>
    <row r="196" spans="14:68">
      <c r="N196" s="7">
        <v>78</v>
      </c>
      <c r="O196" s="18">
        <f t="shared" si="211"/>
        <v>602.559586074358</v>
      </c>
      <c r="P196" s="86" t="str">
        <f t="shared" si="159"/>
        <v>60</v>
      </c>
      <c r="Q196" s="4" t="str">
        <f t="shared" si="160"/>
        <v>1+4,94703155621889i</v>
      </c>
      <c r="R196" s="4">
        <f t="shared" si="171"/>
        <v>5.04709037151362</v>
      </c>
      <c r="S196" s="4">
        <f t="shared" si="172"/>
        <v>1.37134255656076</v>
      </c>
      <c r="T196" s="4" t="str">
        <f t="shared" si="161"/>
        <v>1+0,0593643786746267i</v>
      </c>
      <c r="U196" s="4">
        <f t="shared" si="173"/>
        <v>1.00176051502114</v>
      </c>
      <c r="V196" s="4">
        <f t="shared" si="174"/>
        <v>0.0592947898410081</v>
      </c>
      <c r="W196" t="str">
        <f t="shared" si="162"/>
        <v>1-0,0828186086420573i</v>
      </c>
      <c r="X196" s="4">
        <f t="shared" si="175"/>
        <v>1.00342360044869</v>
      </c>
      <c r="Y196" s="4">
        <f t="shared" si="176"/>
        <v>-0.082630035291245</v>
      </c>
      <c r="Z196" t="str">
        <f t="shared" si="163"/>
        <v>0,999997036097512+0,0220978398335892i</v>
      </c>
      <c r="AA196" s="4">
        <f t="shared" si="177"/>
        <v>1.00024116428445</v>
      </c>
      <c r="AB196" s="4">
        <f t="shared" si="178"/>
        <v>0.022094309452419</v>
      </c>
      <c r="AC196" s="67" t="str">
        <f t="shared" si="179"/>
        <v>1,83283829554457-11,8054265834362i</v>
      </c>
      <c r="AD196" s="68">
        <f t="shared" si="180"/>
        <v>21.5450733332505</v>
      </c>
      <c r="AE196" s="31">
        <f t="shared" si="181"/>
        <v>-81.1750625186918</v>
      </c>
      <c r="AF196" s="32" t="str">
        <f t="shared" si="182"/>
        <v>326,048966736478</v>
      </c>
      <c r="AG196" s="32" t="str">
        <f t="shared" si="164"/>
        <v>1+3,180234571855i</v>
      </c>
      <c r="AH196" s="32">
        <f t="shared" si="183"/>
        <v>3.33375043037444</v>
      </c>
      <c r="AI196" s="32">
        <f t="shared" si="184"/>
        <v>1.26614301889803</v>
      </c>
      <c r="AJ196" s="32" t="str">
        <f t="shared" si="165"/>
        <v>1+0,0593643786746267i</v>
      </c>
      <c r="AK196" s="32">
        <f t="shared" si="185"/>
        <v>1.00176051502114</v>
      </c>
      <c r="AL196" s="32">
        <f t="shared" si="186"/>
        <v>0.0592947898410081</v>
      </c>
      <c r="AM196" s="32" t="str">
        <f t="shared" si="166"/>
        <v>1-0,00979718905654918i</v>
      </c>
      <c r="AN196" s="32">
        <f t="shared" si="187"/>
        <v>1.00004799130512</v>
      </c>
      <c r="AO196" s="32">
        <f t="shared" si="188"/>
        <v>-0.00979687561381936</v>
      </c>
      <c r="AP196" s="30" t="str">
        <f t="shared" si="189"/>
        <v>33,9786839647136-91,8988544917119i</v>
      </c>
      <c r="AQ196" s="32">
        <f t="shared" si="190"/>
        <v>39.8226899012276</v>
      </c>
      <c r="AR196" s="31">
        <f t="shared" si="191"/>
        <v>-69.7086296628915</v>
      </c>
      <c r="AS196" t="str">
        <f t="shared" si="167"/>
        <v>-0,000100699300699301</v>
      </c>
      <c r="AT196" t="str">
        <f t="shared" si="168"/>
        <v>0,000850712747971213i</v>
      </c>
      <c r="AU196">
        <f t="shared" si="192"/>
        <v>0.000850712747971213</v>
      </c>
      <c r="AV196">
        <f t="shared" si="193"/>
        <v>1.5707963267949</v>
      </c>
      <c r="AW196" t="str">
        <f t="shared" si="169"/>
        <v>1+0,0435549323343568i</v>
      </c>
      <c r="AX196">
        <f t="shared" si="194"/>
        <v>1.00094806665014</v>
      </c>
      <c r="AY196">
        <f t="shared" si="195"/>
        <v>0.0435274219384088</v>
      </c>
      <c r="AZ196" t="str">
        <f t="shared" si="170"/>
        <v>1+2,08229644585744i</v>
      </c>
      <c r="BA196">
        <f t="shared" si="196"/>
        <v>2.30996936958708</v>
      </c>
      <c r="BB196">
        <f t="shared" si="197"/>
        <v>1.1230821094832</v>
      </c>
      <c r="BC196" s="30" t="str">
        <f t="shared" si="198"/>
        <v>-0,240869931977886+0,128861582246799i</v>
      </c>
      <c r="BD196" s="32">
        <f t="shared" si="199"/>
        <v>-11.2712362012424</v>
      </c>
      <c r="BE196" s="31">
        <f t="shared" si="200"/>
        <v>151.853927349881</v>
      </c>
      <c r="BF196" s="30" t="str">
        <f t="shared" si="201"/>
        <v>1,07979031306573+3,0797547408886i</v>
      </c>
      <c r="BG196" s="68">
        <f t="shared" si="202"/>
        <v>10.2738371320081</v>
      </c>
      <c r="BH196" s="31">
        <f t="shared" si="203"/>
        <v>70.6788648311893</v>
      </c>
      <c r="BI196" s="30" t="str">
        <f t="shared" si="209"/>
        <v>3,6577885011917+26,5142178086212i</v>
      </c>
      <c r="BJ196" s="68">
        <f t="shared" si="204"/>
        <v>28.5514536999852</v>
      </c>
      <c r="BK196" s="31">
        <f t="shared" si="210"/>
        <v>82.1452976869896</v>
      </c>
      <c r="BL196" s="32">
        <f t="shared" si="205"/>
        <v>10.2738371320081</v>
      </c>
      <c r="BM196" s="31">
        <f t="shared" si="206"/>
        <v>70.6788648311893</v>
      </c>
      <c r="BO196">
        <f t="shared" si="207"/>
        <v>0</v>
      </c>
      <c r="BP196">
        <f t="shared" si="208"/>
        <v>0</v>
      </c>
    </row>
    <row r="197" spans="14:68">
      <c r="N197" s="7">
        <v>79</v>
      </c>
      <c r="O197" s="18">
        <f t="shared" si="211"/>
        <v>616.595001861483</v>
      </c>
      <c r="P197" s="86" t="str">
        <f t="shared" si="159"/>
        <v>60</v>
      </c>
      <c r="Q197" s="4" t="str">
        <f t="shared" si="160"/>
        <v>1+5,06226272407055i</v>
      </c>
      <c r="R197" s="4">
        <f t="shared" si="171"/>
        <v>5.16008758525611</v>
      </c>
      <c r="S197" s="4">
        <f t="shared" si="172"/>
        <v>1.3757671485233</v>
      </c>
      <c r="T197" s="4" t="str">
        <f t="shared" si="161"/>
        <v>1+0,0607471526888466i</v>
      </c>
      <c r="U197" s="4">
        <f t="shared" si="173"/>
        <v>1.00184340920116</v>
      </c>
      <c r="V197" s="4">
        <f t="shared" si="174"/>
        <v>0.0606725943183385</v>
      </c>
      <c r="W197" t="str">
        <f t="shared" si="162"/>
        <v>1-0,0847477018538597i</v>
      </c>
      <c r="X197" s="4">
        <f t="shared" si="175"/>
        <v>1.00358466158541</v>
      </c>
      <c r="Y197" s="4">
        <f t="shared" si="176"/>
        <v>-0.084545680827369</v>
      </c>
      <c r="Z197" t="str">
        <f t="shared" si="163"/>
        <v>0,999996896413091+0,0226125646462544i</v>
      </c>
      <c r="AA197" s="4">
        <f t="shared" si="177"/>
        <v>1.00025252857251</v>
      </c>
      <c r="AB197" s="4">
        <f t="shared" si="178"/>
        <v>0.0226087818262526</v>
      </c>
      <c r="AC197" s="67" t="str">
        <f t="shared" si="179"/>
        <v>1,72983540838319-11,559232954947i</v>
      </c>
      <c r="AD197" s="68">
        <f t="shared" si="180"/>
        <v>21.3547675956073</v>
      </c>
      <c r="AE197" s="31">
        <f t="shared" si="181"/>
        <v>-81.4888660826276</v>
      </c>
      <c r="AF197" s="32" t="str">
        <f t="shared" si="182"/>
        <v>326,048966736478</v>
      </c>
      <c r="AG197" s="32" t="str">
        <f t="shared" si="164"/>
        <v>1+3,25431175118821i</v>
      </c>
      <c r="AH197" s="32">
        <f t="shared" si="183"/>
        <v>3.40448894460265</v>
      </c>
      <c r="AI197" s="32">
        <f t="shared" si="184"/>
        <v>1.27266985200271</v>
      </c>
      <c r="AJ197" s="32" t="str">
        <f t="shared" si="165"/>
        <v>1+0,0607471526888466i</v>
      </c>
      <c r="AK197" s="32">
        <f t="shared" si="185"/>
        <v>1.00184340920116</v>
      </c>
      <c r="AL197" s="32">
        <f t="shared" si="186"/>
        <v>0.0606725943183385</v>
      </c>
      <c r="AM197" s="32" t="str">
        <f t="shared" si="166"/>
        <v>1-0,0100253949056165i</v>
      </c>
      <c r="AN197" s="32">
        <f t="shared" si="187"/>
        <v>1.00005025300882</v>
      </c>
      <c r="AO197" s="32">
        <f t="shared" si="188"/>
        <v>-0.0100250590465919</v>
      </c>
      <c r="AP197" s="30" t="str">
        <f t="shared" si="189"/>
        <v>32,7910911132281-90,1746564277815i</v>
      </c>
      <c r="AQ197" s="32">
        <f t="shared" si="190"/>
        <v>39.6410513904059</v>
      </c>
      <c r="AR197" s="31">
        <f t="shared" si="191"/>
        <v>-70.0167212194831</v>
      </c>
      <c r="AS197" t="str">
        <f t="shared" si="167"/>
        <v>-0,000100699300699301</v>
      </c>
      <c r="AT197" t="str">
        <f t="shared" si="168"/>
        <v>0,000870528393442846i</v>
      </c>
      <c r="AU197">
        <f t="shared" si="192"/>
        <v>0.000870528393442846</v>
      </c>
      <c r="AV197">
        <f t="shared" si="193"/>
        <v>1.5707963267949</v>
      </c>
      <c r="AW197" t="str">
        <f t="shared" si="169"/>
        <v>1+0,0445694570370098i</v>
      </c>
      <c r="AX197">
        <f t="shared" si="194"/>
        <v>1.00099272549833</v>
      </c>
      <c r="AY197">
        <f t="shared" si="195"/>
        <v>0.0445399806953478</v>
      </c>
      <c r="AZ197" t="str">
        <f t="shared" si="170"/>
        <v>1+2,13079936089704i</v>
      </c>
      <c r="BA197">
        <f t="shared" si="196"/>
        <v>2.35378544400275</v>
      </c>
      <c r="BB197">
        <f t="shared" si="197"/>
        <v>1.1320028417811</v>
      </c>
      <c r="BC197" s="30" t="str">
        <f t="shared" si="198"/>
        <v>-0,240848439846139+0,126410551116342i</v>
      </c>
      <c r="BD197" s="32">
        <f t="shared" si="199"/>
        <v>-11.3084106937077</v>
      </c>
      <c r="BE197" s="31">
        <f t="shared" si="200"/>
        <v>152.307032317435</v>
      </c>
      <c r="BF197" s="30" t="str">
        <f t="shared" si="201"/>
        <v>1,04458084901733+3,00269267033134i</v>
      </c>
      <c r="BG197" s="68">
        <f t="shared" si="202"/>
        <v>10.0463569018996</v>
      </c>
      <c r="BH197" s="31">
        <f t="shared" si="203"/>
        <v>70.8181662348071</v>
      </c>
      <c r="BI197" s="30" t="str">
        <f t="shared" si="209"/>
        <v>3,50134488028907+25,8635652136221i</v>
      </c>
      <c r="BJ197" s="68">
        <f t="shared" si="204"/>
        <v>28.3326406966982</v>
      </c>
      <c r="BK197" s="31">
        <f t="shared" si="210"/>
        <v>82.2903110979515</v>
      </c>
      <c r="BL197" s="32">
        <f t="shared" si="205"/>
        <v>10.0463569018996</v>
      </c>
      <c r="BM197" s="31">
        <f t="shared" si="206"/>
        <v>70.8181662348071</v>
      </c>
      <c r="BO197">
        <f t="shared" si="207"/>
        <v>0</v>
      </c>
      <c r="BP197">
        <f t="shared" si="208"/>
        <v>0</v>
      </c>
    </row>
    <row r="198" spans="14:68">
      <c r="N198" s="7">
        <v>80</v>
      </c>
      <c r="O198" s="18">
        <f t="shared" si="211"/>
        <v>630.957344480193</v>
      </c>
      <c r="P198" s="86" t="str">
        <f t="shared" si="159"/>
        <v>60</v>
      </c>
      <c r="Q198" s="4" t="str">
        <f t="shared" si="160"/>
        <v>1+5,18017797062546i</v>
      </c>
      <c r="R198" s="4">
        <f t="shared" si="171"/>
        <v>5.27581688531296</v>
      </c>
      <c r="S198" s="4">
        <f t="shared" si="172"/>
        <v>1.38009851104766</v>
      </c>
      <c r="T198" s="4" t="str">
        <f t="shared" si="161"/>
        <v>1+0,0621621356475056i</v>
      </c>
      <c r="U198" s="4">
        <f t="shared" si="173"/>
        <v>1.00193020271287</v>
      </c>
      <c r="V198" s="4">
        <f t="shared" si="174"/>
        <v>0.0620822532242008</v>
      </c>
      <c r="W198" t="str">
        <f t="shared" si="162"/>
        <v>1-0,0867217294189531i</v>
      </c>
      <c r="X198" s="4">
        <f t="shared" si="175"/>
        <v>1.00375328560031</v>
      </c>
      <c r="Y198" s="4">
        <f t="shared" si="176"/>
        <v>-0.0865053036815995</v>
      </c>
      <c r="Z198" t="str">
        <f t="shared" si="163"/>
        <v>0,999996750145546+0,0231392789400076i</v>
      </c>
      <c r="AA198" s="4">
        <f t="shared" si="177"/>
        <v>1.00026442830459</v>
      </c>
      <c r="AB198" s="4">
        <f t="shared" si="178"/>
        <v>0.0231352256332157</v>
      </c>
      <c r="AC198" s="67" t="str">
        <f t="shared" si="179"/>
        <v>1,6311230484161-11,3174027152666i</v>
      </c>
      <c r="AD198" s="68">
        <f t="shared" si="180"/>
        <v>21.164223211579</v>
      </c>
      <c r="AE198" s="31">
        <f t="shared" si="181"/>
        <v>-81.79870849623</v>
      </c>
      <c r="AF198" s="32" t="str">
        <f t="shared" si="182"/>
        <v>326,048966736478</v>
      </c>
      <c r="AG198" s="32" t="str">
        <f t="shared" si="164"/>
        <v>1+3,3301144096878i</v>
      </c>
      <c r="AH198" s="32">
        <f t="shared" si="183"/>
        <v>3.477019122986</v>
      </c>
      <c r="AI198" s="32">
        <f t="shared" si="184"/>
        <v>1.27907351396006</v>
      </c>
      <c r="AJ198" s="32" t="str">
        <f t="shared" si="165"/>
        <v>1+0,0621621356475056i</v>
      </c>
      <c r="AK198" s="32">
        <f t="shared" si="185"/>
        <v>1.00193020271287</v>
      </c>
      <c r="AL198" s="32">
        <f t="shared" si="186"/>
        <v>0.0620822532242008</v>
      </c>
      <c r="AM198" s="32" t="str">
        <f t="shared" si="166"/>
        <v>1-0,0102589163517645i</v>
      </c>
      <c r="AN198" s="32">
        <f t="shared" si="187"/>
        <v>1.00005262129786</v>
      </c>
      <c r="AO198" s="32">
        <f t="shared" si="188"/>
        <v>-0.0102585564733585</v>
      </c>
      <c r="AP198" s="30" t="str">
        <f t="shared" si="189"/>
        <v>31,6478980360654-88,4681302645585i</v>
      </c>
      <c r="AQ198" s="32">
        <f t="shared" si="190"/>
        <v>39.458721399165</v>
      </c>
      <c r="AR198" s="31">
        <f t="shared" si="191"/>
        <v>-70.3162349342899</v>
      </c>
      <c r="AS198" t="str">
        <f t="shared" si="167"/>
        <v>-0,000100699300699301</v>
      </c>
      <c r="AT198" t="str">
        <f t="shared" si="168"/>
        <v>0,000890805604591486i</v>
      </c>
      <c r="AU198">
        <f t="shared" si="192"/>
        <v>0.000890805604591486</v>
      </c>
      <c r="AV198">
        <f t="shared" si="193"/>
        <v>1.5707963267949</v>
      </c>
      <c r="AW198" t="str">
        <f t="shared" si="169"/>
        <v>1+0,0456076130557302i</v>
      </c>
      <c r="AX198">
        <f t="shared" si="194"/>
        <v>1.00103948691779</v>
      </c>
      <c r="AY198">
        <f t="shared" si="195"/>
        <v>0.0455760303576809</v>
      </c>
      <c r="AZ198" t="str">
        <f t="shared" si="170"/>
        <v>1+2,18043205396225i</v>
      </c>
      <c r="BA198">
        <f t="shared" si="196"/>
        <v>2.39880885898523</v>
      </c>
      <c r="BB198">
        <f t="shared" si="197"/>
        <v>1.14079328791281</v>
      </c>
      <c r="BC198" s="30" t="str">
        <f t="shared" si="198"/>
        <v>-0,2408259389318+0,124026454408677i</v>
      </c>
      <c r="BD198" s="32">
        <f t="shared" si="199"/>
        <v>-11.3442410211121</v>
      </c>
      <c r="BE198" s="31">
        <f t="shared" si="200"/>
        <v>152.751326507801</v>
      </c>
      <c r="BF198" s="30" t="str">
        <f t="shared" si="201"/>
        <v>1,01084059224154+2,9278265435727i</v>
      </c>
      <c r="BG198" s="68">
        <f t="shared" si="202"/>
        <v>9.81998219046691</v>
      </c>
      <c r="BH198" s="31">
        <f t="shared" si="203"/>
        <v>70.9526180115715</v>
      </c>
      <c r="BI198" s="30" t="str">
        <f t="shared" si="209"/>
        <v>3,35075376512484+25,2305971194036i</v>
      </c>
      <c r="BJ198" s="68">
        <f t="shared" si="204"/>
        <v>28.1144803780529</v>
      </c>
      <c r="BK198" s="31">
        <f t="shared" si="210"/>
        <v>82.4350915735116</v>
      </c>
      <c r="BL198" s="32">
        <f t="shared" si="205"/>
        <v>9.81998219046691</v>
      </c>
      <c r="BM198" s="31">
        <f t="shared" si="206"/>
        <v>70.9526180115715</v>
      </c>
      <c r="BO198">
        <f t="shared" si="207"/>
        <v>0</v>
      </c>
      <c r="BP198">
        <f t="shared" si="208"/>
        <v>0</v>
      </c>
    </row>
    <row r="199" spans="14:68">
      <c r="N199" s="7">
        <v>81</v>
      </c>
      <c r="O199" s="18">
        <f t="shared" si="211"/>
        <v>645.654229034656</v>
      </c>
      <c r="P199" s="86" t="str">
        <f t="shared" si="159"/>
        <v>60</v>
      </c>
      <c r="Q199" s="4" t="str">
        <f t="shared" si="160"/>
        <v>1+5,30083981610817i</v>
      </c>
      <c r="R199" s="4">
        <f t="shared" si="171"/>
        <v>5.39433988139769</v>
      </c>
      <c r="S199" s="4">
        <f t="shared" si="172"/>
        <v>1.38433829029194</v>
      </c>
      <c r="T199" s="4" t="str">
        <f t="shared" si="161"/>
        <v>1+0,0636100777932982i</v>
      </c>
      <c r="U199" s="4">
        <f t="shared" si="173"/>
        <v>1.00202107861904</v>
      </c>
      <c r="V199" s="4">
        <f t="shared" si="174"/>
        <v>0.063524491556258</v>
      </c>
      <c r="W199" t="str">
        <f t="shared" si="162"/>
        <v>1-0,0887417379928824i</v>
      </c>
      <c r="X199" s="4">
        <f t="shared" si="175"/>
        <v>1.00392982626377</v>
      </c>
      <c r="Y199" s="4">
        <f t="shared" si="176"/>
        <v>-0.0885098826369617</v>
      </c>
      <c r="Z199" t="str">
        <f t="shared" si="163"/>
        <v>0,999996596984625+0,0236782619857394i</v>
      </c>
      <c r="AA199" s="4">
        <f t="shared" si="177"/>
        <v>1.00027688870207</v>
      </c>
      <c r="AB199" s="4">
        <f t="shared" si="178"/>
        <v>0.0236739188541889</v>
      </c>
      <c r="AC199" s="67" t="str">
        <f t="shared" si="179"/>
        <v>1,53653629846513-11,0799170775364i</v>
      </c>
      <c r="AD199" s="68">
        <f t="shared" si="180"/>
        <v>20.9734584759012</v>
      </c>
      <c r="AE199" s="31">
        <f t="shared" si="181"/>
        <v>-82.1047145453728</v>
      </c>
      <c r="AF199" s="32" t="str">
        <f t="shared" si="182"/>
        <v>326,048966736478</v>
      </c>
      <c r="AG199" s="32" t="str">
        <f t="shared" si="164"/>
        <v>1+3,40768273892669i</v>
      </c>
      <c r="AH199" s="32">
        <f t="shared" si="183"/>
        <v>3.55138024564801</v>
      </c>
      <c r="AI199" s="32">
        <f t="shared" si="184"/>
        <v>1.28535529854665</v>
      </c>
      <c r="AJ199" s="32" t="str">
        <f t="shared" si="165"/>
        <v>1+0,0636100777932982i</v>
      </c>
      <c r="AK199" s="32">
        <f t="shared" si="185"/>
        <v>1.00202107861904</v>
      </c>
      <c r="AL199" s="32">
        <f t="shared" si="186"/>
        <v>0.063524491556258</v>
      </c>
      <c r="AM199" s="32" t="str">
        <f t="shared" si="166"/>
        <v>1-0,010497877211155i</v>
      </c>
      <c r="AN199" s="32">
        <f t="shared" si="187"/>
        <v>1.0000551011949</v>
      </c>
      <c r="AO199" s="32">
        <f t="shared" si="188"/>
        <v>-0.010497491595643</v>
      </c>
      <c r="AP199" s="30" t="str">
        <f t="shared" si="189"/>
        <v>30,5478058167054-86,7800524727629i</v>
      </c>
      <c r="AQ199" s="32">
        <f t="shared" si="190"/>
        <v>39.2757288120045</v>
      </c>
      <c r="AR199" s="31">
        <f t="shared" si="191"/>
        <v>-70.6072104835176</v>
      </c>
      <c r="AS199" t="str">
        <f t="shared" si="167"/>
        <v>-0,000100699300699301</v>
      </c>
      <c r="AT199" t="str">
        <f t="shared" si="168"/>
        <v>0,000911555132662889i</v>
      </c>
      <c r="AU199">
        <f t="shared" si="192"/>
        <v>0.000911555132662889</v>
      </c>
      <c r="AV199">
        <f t="shared" si="193"/>
        <v>1.5707963267949</v>
      </c>
      <c r="AW199" t="str">
        <f t="shared" si="169"/>
        <v>1+0,0466699508345809i</v>
      </c>
      <c r="AX199">
        <f t="shared" si="194"/>
        <v>1.00108844979397</v>
      </c>
      <c r="AY199">
        <f t="shared" si="195"/>
        <v>0.046636111350833</v>
      </c>
      <c r="AZ199" t="str">
        <f t="shared" si="170"/>
        <v>1+2,2312208409639i</v>
      </c>
      <c r="BA199">
        <f t="shared" si="196"/>
        <v>2.44506573350322</v>
      </c>
      <c r="BB199">
        <f t="shared" si="197"/>
        <v>1.14945267362907</v>
      </c>
      <c r="BC199" s="30" t="str">
        <f t="shared" si="198"/>
        <v>-0,240802382087703+0,121708021625603i</v>
      </c>
      <c r="BD199" s="32">
        <f t="shared" si="199"/>
        <v>-11.3787679512186</v>
      </c>
      <c r="BE199" s="31">
        <f t="shared" si="200"/>
        <v>153.186734595669</v>
      </c>
      <c r="BF199" s="30" t="str">
        <f t="shared" si="201"/>
        <v>0,978513186448063+2,8550792186471i</v>
      </c>
      <c r="BG199" s="68">
        <f t="shared" si="202"/>
        <v>9.59469052468262</v>
      </c>
      <c r="BH199" s="31">
        <f t="shared" si="203"/>
        <v>71.0820200502966</v>
      </c>
      <c r="BI199" s="30" t="str">
        <f t="shared" si="209"/>
        <v>3,20584409481074+24,6147563640915i</v>
      </c>
      <c r="BJ199" s="68">
        <f t="shared" si="204"/>
        <v>27.8969608607859</v>
      </c>
      <c r="BK199" s="31">
        <f t="shared" si="210"/>
        <v>82.5795241121518</v>
      </c>
      <c r="BL199" s="32">
        <f t="shared" si="205"/>
        <v>9.59469052468262</v>
      </c>
      <c r="BM199" s="31">
        <f t="shared" si="206"/>
        <v>71.0820200502966</v>
      </c>
      <c r="BO199">
        <f t="shared" si="207"/>
        <v>0</v>
      </c>
      <c r="BP199">
        <f t="shared" si="208"/>
        <v>0</v>
      </c>
    </row>
    <row r="200" spans="14:68">
      <c r="N200" s="7">
        <v>82</v>
      </c>
      <c r="O200" s="18">
        <f t="shared" si="211"/>
        <v>660.693448007596</v>
      </c>
      <c r="P200" s="86" t="str">
        <f t="shared" si="159"/>
        <v>60</v>
      </c>
      <c r="Q200" s="4" t="str">
        <f t="shared" si="160"/>
        <v>1+5,4243122370263i</v>
      </c>
      <c r="R200" s="4">
        <f t="shared" si="171"/>
        <v>5.51571964885393</v>
      </c>
      <c r="S200" s="4">
        <f t="shared" si="172"/>
        <v>1.38848812424285</v>
      </c>
      <c r="T200" s="4" t="str">
        <f t="shared" si="161"/>
        <v>1+0,0650917468443157i</v>
      </c>
      <c r="U200" s="4">
        <f t="shared" si="173"/>
        <v>1.002116228542</v>
      </c>
      <c r="V200" s="4">
        <f t="shared" si="174"/>
        <v>0.0650000499953869</v>
      </c>
      <c r="W200" t="str">
        <f t="shared" si="162"/>
        <v>1-0,0908087986109314i</v>
      </c>
      <c r="X200" s="4">
        <f t="shared" si="175"/>
        <v>1.00411465376478</v>
      </c>
      <c r="Y200" s="4">
        <f t="shared" si="176"/>
        <v>-0.090560416071439</v>
      </c>
      <c r="Z200" t="str">
        <f t="shared" si="163"/>
        <v>0,999996436605451+0,0242297995593949i</v>
      </c>
      <c r="AA200" s="4">
        <f t="shared" si="177"/>
        <v>1.00028993617365</v>
      </c>
      <c r="AB200" s="4">
        <f t="shared" si="178"/>
        <v>0.02422514588294</v>
      </c>
      <c r="AC200" s="67" t="str">
        <f t="shared" si="179"/>
        <v>1,44591534955777-10,8467531156351i</v>
      </c>
      <c r="AD200" s="68">
        <f t="shared" si="180"/>
        <v>20.7824913485652</v>
      </c>
      <c r="AE200" s="31">
        <f t="shared" si="181"/>
        <v>-82.4070091392997</v>
      </c>
      <c r="AF200" s="32" t="str">
        <f t="shared" si="182"/>
        <v>326,048966736478</v>
      </c>
      <c r="AG200" s="32" t="str">
        <f t="shared" si="164"/>
        <v>1+3,48705786665977i</v>
      </c>
      <c r="AH200" s="32">
        <f t="shared" si="183"/>
        <v>3.6276125158889</v>
      </c>
      <c r="AI200" s="32">
        <f t="shared" si="184"/>
        <v>1.29151655262525</v>
      </c>
      <c r="AJ200" s="32" t="str">
        <f t="shared" si="165"/>
        <v>1+0,0650917468443157i</v>
      </c>
      <c r="AK200" s="32">
        <f t="shared" si="185"/>
        <v>1.002116228542</v>
      </c>
      <c r="AL200" s="32">
        <f t="shared" si="186"/>
        <v>0.0650000499953869</v>
      </c>
      <c r="AM200" s="32" t="str">
        <f t="shared" si="166"/>
        <v>1-0,0107424041839988i</v>
      </c>
      <c r="AN200" s="32">
        <f t="shared" si="187"/>
        <v>1.0000576979593</v>
      </c>
      <c r="AO200" s="32">
        <f t="shared" si="188"/>
        <v>-0.0107419909908208</v>
      </c>
      <c r="AP200" s="30" t="str">
        <f t="shared" si="189"/>
        <v>29,48952367325-85,1111284916527i</v>
      </c>
      <c r="AQ200" s="32">
        <f t="shared" si="190"/>
        <v>39.0921017816343</v>
      </c>
      <c r="AR200" s="31">
        <f t="shared" si="191"/>
        <v>-70.8896898511792</v>
      </c>
      <c r="AS200" t="str">
        <f t="shared" si="167"/>
        <v>-0,000100699300699301</v>
      </c>
      <c r="AT200" t="str">
        <f t="shared" si="168"/>
        <v>0,000932787979331487i</v>
      </c>
      <c r="AU200">
        <f t="shared" si="192"/>
        <v>0.000932787979331487</v>
      </c>
      <c r="AV200">
        <f t="shared" si="193"/>
        <v>1.5707963267949</v>
      </c>
      <c r="AW200" t="str">
        <f t="shared" si="169"/>
        <v>1+0,047757033639114i</v>
      </c>
      <c r="AX200">
        <f t="shared" si="194"/>
        <v>1.00113971765284</v>
      </c>
      <c r="AY200">
        <f t="shared" si="195"/>
        <v>0.0477207762080447</v>
      </c>
      <c r="AZ200" t="str">
        <f t="shared" si="170"/>
        <v>1+2,28319265078913i</v>
      </c>
      <c r="BA200">
        <f t="shared" si="196"/>
        <v>2.49258273295341</v>
      </c>
      <c r="BB200">
        <f t="shared" si="197"/>
        <v>1.15798039462548</v>
      </c>
      <c r="BC200" s="30" t="str">
        <f t="shared" si="198"/>
        <v>-0,240777719982663+0,11945401662904i</v>
      </c>
      <c r="BD200" s="32">
        <f t="shared" si="199"/>
        <v>-11.4120319041431</v>
      </c>
      <c r="BE200" s="31">
        <f t="shared" si="200"/>
        <v>153.613190299124</v>
      </c>
      <c r="BF200" s="30" t="str">
        <f t="shared" si="201"/>
        <v>0,947544025891711+2,78437688060772i</v>
      </c>
      <c r="BG200" s="68">
        <f t="shared" si="202"/>
        <v>9.37045944442203</v>
      </c>
      <c r="BH200" s="31">
        <f t="shared" si="203"/>
        <v>71.2061811598245</v>
      </c>
      <c r="BI200" s="30" t="str">
        <f t="shared" si="209"/>
        <v>3,06644588473834+24,0155055146185i</v>
      </c>
      <c r="BJ200" s="68">
        <f t="shared" si="204"/>
        <v>27.6800698774911</v>
      </c>
      <c r="BK200" s="31">
        <f t="shared" si="210"/>
        <v>82.7235004479451</v>
      </c>
      <c r="BL200" s="32">
        <f t="shared" si="205"/>
        <v>9.37045944442203</v>
      </c>
      <c r="BM200" s="31">
        <f t="shared" si="206"/>
        <v>71.2061811598245</v>
      </c>
      <c r="BO200">
        <f t="shared" si="207"/>
        <v>0</v>
      </c>
      <c r="BP200">
        <f t="shared" si="208"/>
        <v>0</v>
      </c>
    </row>
    <row r="201" spans="14:68">
      <c r="N201" s="7">
        <v>83</v>
      </c>
      <c r="O201" s="18">
        <f t="shared" si="211"/>
        <v>676.082975391982</v>
      </c>
      <c r="P201" s="86" t="str">
        <f t="shared" si="159"/>
        <v>60</v>
      </c>
      <c r="Q201" s="4" t="str">
        <f t="shared" si="160"/>
        <v>1+5,55066070009175i</v>
      </c>
      <c r="R201" s="4">
        <f t="shared" si="171"/>
        <v>5.64002076304184</v>
      </c>
      <c r="S201" s="4">
        <f t="shared" si="172"/>
        <v>1.39254964119971</v>
      </c>
      <c r="T201" s="4" t="str">
        <f t="shared" si="161"/>
        <v>1+0,0666079284011011i</v>
      </c>
      <c r="U201" s="4">
        <f t="shared" si="173"/>
        <v>1.00221585306055</v>
      </c>
      <c r="V201" s="4">
        <f t="shared" si="174"/>
        <v>0.0665096851861727</v>
      </c>
      <c r="W201" t="str">
        <f t="shared" si="162"/>
        <v>1-0,0929240072560004i</v>
      </c>
      <c r="X201" s="4">
        <f t="shared" si="175"/>
        <v>1.00430815546052</v>
      </c>
      <c r="Y201" s="4">
        <f t="shared" si="176"/>
        <v>-0.0926579221920093</v>
      </c>
      <c r="Z201" t="str">
        <f t="shared" si="163"/>
        <v>0,99999626866784+0,0247941840934961i</v>
      </c>
      <c r="AA201" s="4">
        <f t="shared" si="177"/>
        <v>1.00030359837125</v>
      </c>
      <c r="AB201" s="4">
        <f t="shared" si="178"/>
        <v>0.0247891976710666</v>
      </c>
      <c r="AC201" s="67" t="str">
        <f t="shared" si="179"/>
        <v>1,35910544960336-10,6178840952382i</v>
      </c>
      <c r="AD201" s="68">
        <f t="shared" si="180"/>
        <v>20.5913394805877</v>
      </c>
      <c r="AE201" s="31">
        <f t="shared" si="181"/>
        <v>-82.7057172294104</v>
      </c>
      <c r="AF201" s="32" t="str">
        <f t="shared" si="182"/>
        <v>326,048966736478</v>
      </c>
      <c r="AG201" s="32" t="str">
        <f t="shared" si="164"/>
        <v>1+3,56828187863042i</v>
      </c>
      <c r="AH201" s="32">
        <f t="shared" si="183"/>
        <v>3.70575708396574</v>
      </c>
      <c r="AI201" s="32">
        <f t="shared" si="184"/>
        <v>1.29755867115329</v>
      </c>
      <c r="AJ201" s="32" t="str">
        <f t="shared" si="165"/>
        <v>1+0,0666079284011011i</v>
      </c>
      <c r="AK201" s="32">
        <f t="shared" si="185"/>
        <v>1.00221585306055</v>
      </c>
      <c r="AL201" s="32">
        <f t="shared" si="186"/>
        <v>0.0665096851861727</v>
      </c>
      <c r="AM201" s="32" t="str">
        <f t="shared" si="166"/>
        <v>1-0,0109926269217334i</v>
      </c>
      <c r="AN201" s="32">
        <f t="shared" si="187"/>
        <v>1.00006041709821</v>
      </c>
      <c r="AO201" s="32">
        <f t="shared" si="188"/>
        <v>-0.010992184178711</v>
      </c>
      <c r="AP201" s="30" t="str">
        <f t="shared" si="189"/>
        <v>28,4717717715242-83,4619956827454i</v>
      </c>
      <c r="AQ201" s="32">
        <f t="shared" si="190"/>
        <v>38.9078677383686</v>
      </c>
      <c r="AR201" s="31">
        <f t="shared" si="191"/>
        <v>-71.1637170308459</v>
      </c>
      <c r="AS201" t="str">
        <f t="shared" si="167"/>
        <v>-0,000100699300699301</v>
      </c>
      <c r="AT201" t="str">
        <f t="shared" si="168"/>
        <v>0,000954515402533636i</v>
      </c>
      <c r="AU201">
        <f t="shared" si="192"/>
        <v>0.000954515402533636</v>
      </c>
      <c r="AV201">
        <f t="shared" si="193"/>
        <v>1.5707963267949</v>
      </c>
      <c r="AW201" t="str">
        <f t="shared" si="169"/>
        <v>1+0,0488694378550216i</v>
      </c>
      <c r="AX201">
        <f t="shared" si="194"/>
        <v>1.00119339887769</v>
      </c>
      <c r="AY201">
        <f t="shared" si="195"/>
        <v>0.0488305898183284</v>
      </c>
      <c r="AZ201" t="str">
        <f t="shared" si="170"/>
        <v>1+2,33637503957944i</v>
      </c>
      <c r="BA201">
        <f t="shared" si="196"/>
        <v>2.5413870869212</v>
      </c>
      <c r="BB201">
        <f t="shared" si="197"/>
        <v>1.16637601014209</v>
      </c>
      <c r="BC201" s="30" t="str">
        <f t="shared" si="198"/>
        <v>-0,240751901002171+0,117263236953423i</v>
      </c>
      <c r="BD201" s="32">
        <f t="shared" si="199"/>
        <v>-11.4440728957456</v>
      </c>
      <c r="BE201" s="31">
        <f t="shared" si="200"/>
        <v>154.030635998725</v>
      </c>
      <c r="BF201" s="30" t="str">
        <f t="shared" si="201"/>
        <v>0,917880237949479+2,71564888493084i</v>
      </c>
      <c r="BG201" s="68">
        <f t="shared" si="202"/>
        <v>9.14726658484215</v>
      </c>
      <c r="BH201" s="31">
        <f t="shared" si="203"/>
        <v>71.3249187693148</v>
      </c>
      <c r="BI201" s="30" t="str">
        <f t="shared" si="209"/>
        <v>2,93239059745694+23,432326241784i</v>
      </c>
      <c r="BJ201" s="68">
        <f t="shared" si="204"/>
        <v>27.463794842623</v>
      </c>
      <c r="BK201" s="31">
        <f t="shared" si="210"/>
        <v>82.8669189678793</v>
      </c>
      <c r="BL201" s="32">
        <f t="shared" si="205"/>
        <v>9.14726658484215</v>
      </c>
      <c r="BM201" s="31">
        <f t="shared" si="206"/>
        <v>71.3249187693148</v>
      </c>
      <c r="BO201">
        <f t="shared" si="207"/>
        <v>0</v>
      </c>
      <c r="BP201">
        <f t="shared" si="208"/>
        <v>0</v>
      </c>
    </row>
    <row r="202" spans="14:68">
      <c r="N202" s="7">
        <v>84</v>
      </c>
      <c r="O202" s="18">
        <f t="shared" si="211"/>
        <v>691.830970918937</v>
      </c>
      <c r="P202" s="86" t="str">
        <f t="shared" si="159"/>
        <v>60</v>
      </c>
      <c r="Q202" s="4" t="str">
        <f t="shared" si="160"/>
        <v>1+5,67995219693207i</v>
      </c>
      <c r="R202" s="4">
        <f t="shared" si="171"/>
        <v>5.76730933446728</v>
      </c>
      <c r="S202" s="4">
        <f t="shared" si="172"/>
        <v>1.39652445838124</v>
      </c>
      <c r="T202" s="4" t="str">
        <f t="shared" si="161"/>
        <v>1+0,0681594263631849i</v>
      </c>
      <c r="U202" s="4">
        <f t="shared" si="173"/>
        <v>1.00232016212494</v>
      </c>
      <c r="V202" s="4">
        <f t="shared" si="174"/>
        <v>0.0680541700180279</v>
      </c>
      <c r="W202" t="str">
        <f t="shared" si="162"/>
        <v>1-0,0950884854397111i</v>
      </c>
      <c r="X202" s="4">
        <f t="shared" si="175"/>
        <v>1.00451073665901</v>
      </c>
      <c r="Y202" s="4">
        <f t="shared" si="176"/>
        <v>-0.0948034392590334</v>
      </c>
      <c r="Z202" t="str">
        <f t="shared" si="163"/>
        <v>0,999996092815573+0,0253717148321935i</v>
      </c>
      <c r="AA202" s="4">
        <f t="shared" si="177"/>
        <v>1.00031790424841</v>
      </c>
      <c r="AB202" s="4">
        <f t="shared" si="178"/>
        <v>0.0253663718759976</v>
      </c>
      <c r="AC202" s="67" t="str">
        <f t="shared" si="179"/>
        <v>1,27595684142176-10,3932797883884i</v>
      </c>
      <c r="AD202" s="68">
        <f t="shared" si="180"/>
        <v>20.4000202399664</v>
      </c>
      <c r="AE202" s="31">
        <f t="shared" si="181"/>
        <v>-83.0009637346609</v>
      </c>
      <c r="AF202" s="32" t="str">
        <f t="shared" si="182"/>
        <v>326,048966736478</v>
      </c>
      <c r="AG202" s="32" t="str">
        <f t="shared" si="164"/>
        <v>1+3,65139784088491i</v>
      </c>
      <c r="AH202" s="32">
        <f t="shared" si="183"/>
        <v>3.78585607127622</v>
      </c>
      <c r="AI202" s="32">
        <f t="shared" si="184"/>
        <v>1.30348309240407</v>
      </c>
      <c r="AJ202" s="32" t="str">
        <f t="shared" si="165"/>
        <v>1+0,0681594263631849i</v>
      </c>
      <c r="AK202" s="32">
        <f t="shared" si="185"/>
        <v>1.00232016212494</v>
      </c>
      <c r="AL202" s="32">
        <f t="shared" si="186"/>
        <v>0.0680541700180279</v>
      </c>
      <c r="AM202" s="32" t="str">
        <f t="shared" si="166"/>
        <v>1-0,0112486780957666i</v>
      </c>
      <c r="AN202" s="32">
        <f t="shared" si="187"/>
        <v>1.00006326437826</v>
      </c>
      <c r="AO202" s="32">
        <f t="shared" si="188"/>
        <v>-0.0112482036896917</v>
      </c>
      <c r="AP202" s="30" t="str">
        <f t="shared" si="189"/>
        <v>27,4932837635041-81,8332263041035i</v>
      </c>
      <c r="AQ202" s="32">
        <f t="shared" si="190"/>
        <v>38.7230534013387</v>
      </c>
      <c r="AR202" s="31">
        <f t="shared" si="191"/>
        <v>-71.4293377396386</v>
      </c>
      <c r="AS202" t="str">
        <f t="shared" si="167"/>
        <v>-0,000100699300699301</v>
      </c>
      <c r="AT202" t="str">
        <f t="shared" si="168"/>
        <v>0,000976748922436713i</v>
      </c>
      <c r="AU202">
        <f t="shared" si="192"/>
        <v>0.000976748922436713</v>
      </c>
      <c r="AV202">
        <f t="shared" si="193"/>
        <v>1.5707963267949</v>
      </c>
      <c r="AW202" t="str">
        <f t="shared" si="169"/>
        <v>1+0,0500077532937434i</v>
      </c>
      <c r="AX202">
        <f t="shared" si="194"/>
        <v>1.001249606936</v>
      </c>
      <c r="AY202">
        <f t="shared" si="195"/>
        <v>0.0499661296777982</v>
      </c>
      <c r="AZ202" t="str">
        <f t="shared" si="170"/>
        <v>1+2,3907962053413i</v>
      </c>
      <c r="BA202">
        <f t="shared" si="196"/>
        <v>2.59150660726041</v>
      </c>
      <c r="BB202">
        <f t="shared" si="197"/>
        <v>1.17463923638393</v>
      </c>
      <c r="BC202" s="30" t="str">
        <f t="shared" si="198"/>
        <v>-0,24072487114476+0,11513451313368i</v>
      </c>
      <c r="BD202" s="32">
        <f t="shared" si="199"/>
        <v>-11.4749304860049</v>
      </c>
      <c r="BE202" s="31">
        <f t="shared" si="200"/>
        <v>154.439022346128</v>
      </c>
      <c r="BF202" s="30" t="str">
        <f t="shared" si="201"/>
        <v>0,889470662060687+2,64882760754792i</v>
      </c>
      <c r="BG202" s="68">
        <f t="shared" si="202"/>
        <v>8.92508975396155</v>
      </c>
      <c r="BH202" s="31">
        <f t="shared" si="203"/>
        <v>71.438058611467</v>
      </c>
      <c r="BI202" s="30" t="str">
        <f t="shared" si="209"/>
        <v>2,80351147736537+22,8647186979725i</v>
      </c>
      <c r="BJ202" s="68">
        <f t="shared" si="204"/>
        <v>27.2481229153338</v>
      </c>
      <c r="BK202" s="31">
        <f t="shared" si="210"/>
        <v>83.0096846064892</v>
      </c>
      <c r="BL202" s="32">
        <f t="shared" si="205"/>
        <v>8.92508975396155</v>
      </c>
      <c r="BM202" s="31">
        <f t="shared" si="206"/>
        <v>71.438058611467</v>
      </c>
      <c r="BO202">
        <f t="shared" si="207"/>
        <v>0</v>
      </c>
      <c r="BP202">
        <f t="shared" si="208"/>
        <v>0</v>
      </c>
    </row>
    <row r="203" spans="14:68">
      <c r="N203" s="7">
        <v>85</v>
      </c>
      <c r="O203" s="18">
        <f t="shared" si="211"/>
        <v>707.945784384139</v>
      </c>
      <c r="P203" s="86" t="str">
        <f t="shared" si="159"/>
        <v>60</v>
      </c>
      <c r="Q203" s="4" t="str">
        <f t="shared" si="160"/>
        <v>1+5,81225527961027i</v>
      </c>
      <c r="R203" s="4">
        <f t="shared" si="171"/>
        <v>5.89765304467442</v>
      </c>
      <c r="S203" s="4">
        <f t="shared" si="172"/>
        <v>1.40041418064865</v>
      </c>
      <c r="T203" s="4" t="str">
        <f t="shared" si="161"/>
        <v>1+0,0697470633553234i</v>
      </c>
      <c r="U203" s="4">
        <f t="shared" si="173"/>
        <v>1.00242937549071</v>
      </c>
      <c r="V203" s="4">
        <f t="shared" si="174"/>
        <v>0.0696342939065477</v>
      </c>
      <c r="W203" t="str">
        <f t="shared" si="162"/>
        <v>1-0,097303380797047i</v>
      </c>
      <c r="X203" s="4">
        <f t="shared" si="175"/>
        <v>1.00472282143611</v>
      </c>
      <c r="Y203" s="4">
        <f t="shared" si="176"/>
        <v>-0.0969980257997885</v>
      </c>
      <c r="Z203" t="str">
        <f t="shared" si="163"/>
        <v>0,999995908675644+0,0259626979899293i</v>
      </c>
      <c r="AA203" s="4">
        <f t="shared" si="177"/>
        <v>1.00033288412155</v>
      </c>
      <c r="AB203" s="4">
        <f t="shared" si="178"/>
        <v>0.0259569730121047</v>
      </c>
      <c r="AC203" s="67" t="str">
        <f t="shared" si="179"/>
        <v>1,19632469141482-10,1729067719289i</v>
      </c>
      <c r="AD203" s="68">
        <f t="shared" si="180"/>
        <v>20.2085507378011</v>
      </c>
      <c r="AE203" s="31">
        <f t="shared" si="181"/>
        <v>-83.2928734731779</v>
      </c>
      <c r="AF203" s="32" t="str">
        <f t="shared" si="182"/>
        <v>326,048966736478</v>
      </c>
      <c r="AG203" s="32" t="str">
        <f t="shared" si="164"/>
        <v>1+3,73644982260661i</v>
      </c>
      <c r="AH203" s="32">
        <f t="shared" si="183"/>
        <v>3.86795259495989</v>
      </c>
      <c r="AI203" s="32">
        <f t="shared" si="184"/>
        <v>1.30929129340159</v>
      </c>
      <c r="AJ203" s="32" t="str">
        <f t="shared" si="165"/>
        <v>1+0,0697470633553234i</v>
      </c>
      <c r="AK203" s="32">
        <f t="shared" si="185"/>
        <v>1.00242937549071</v>
      </c>
      <c r="AL203" s="32">
        <f t="shared" si="186"/>
        <v>0.0696342939065477</v>
      </c>
      <c r="AM203" s="32" t="str">
        <f t="shared" si="166"/>
        <v>1-0,01151069346782i</v>
      </c>
      <c r="AN203" s="32">
        <f t="shared" si="187"/>
        <v>1.0000662458378</v>
      </c>
      <c r="AO203" s="32">
        <f t="shared" si="188"/>
        <v>-0.0115101851343708</v>
      </c>
      <c r="AP203" s="30" t="str">
        <f t="shared" si="189"/>
        <v>26,5528090637229-80,2253304875509i</v>
      </c>
      <c r="AQ203" s="32">
        <f t="shared" si="190"/>
        <v>38.5376847913618</v>
      </c>
      <c r="AR203" s="31">
        <f t="shared" si="191"/>
        <v>-71.6865991445306</v>
      </c>
      <c r="AS203" t="str">
        <f t="shared" si="167"/>
        <v>-0,000100699300699301</v>
      </c>
      <c r="AT203" t="str">
        <f t="shared" si="168"/>
        <v>0,000999500327547267i</v>
      </c>
      <c r="AU203">
        <f t="shared" si="192"/>
        <v>0.000999500327547267</v>
      </c>
      <c r="AV203">
        <f t="shared" si="193"/>
        <v>1.5707963267949</v>
      </c>
      <c r="AW203" t="str">
        <f t="shared" si="169"/>
        <v>1+0,0511725835051925i</v>
      </c>
      <c r="AX203">
        <f t="shared" si="194"/>
        <v>1.00130846061671</v>
      </c>
      <c r="AY203">
        <f t="shared" si="195"/>
        <v>0.0511279861442822</v>
      </c>
      <c r="AZ203" t="str">
        <f t="shared" si="170"/>
        <v>1+2,44648500289718i</v>
      </c>
      <c r="BA203">
        <f t="shared" si="196"/>
        <v>2.64296970648564</v>
      </c>
      <c r="BB203">
        <f t="shared" si="197"/>
        <v>1.1827699398069</v>
      </c>
      <c r="BC203" s="30" t="str">
        <f t="shared" si="198"/>
        <v>-0,240696573913885+0,113066708048313i</v>
      </c>
      <c r="BD203" s="32">
        <f t="shared" si="199"/>
        <v>-11.5046437323016</v>
      </c>
      <c r="BE203" s="31">
        <f t="shared" si="200"/>
        <v>154.838307864807</v>
      </c>
      <c r="BF203" s="30" t="str">
        <f t="shared" si="201"/>
        <v>0,862265825472258+2,58384830136383i</v>
      </c>
      <c r="BG203" s="68">
        <f t="shared" si="202"/>
        <v>8.70390700549942</v>
      </c>
      <c r="BH203" s="31">
        <f t="shared" si="203"/>
        <v>71.5454343916294</v>
      </c>
      <c r="BI203" s="30" t="str">
        <f t="shared" si="209"/>
        <v>2,67964385088769+22,3122008997332i</v>
      </c>
      <c r="BJ203" s="68">
        <f t="shared" si="204"/>
        <v>27.0330410590602</v>
      </c>
      <c r="BK203" s="31">
        <f t="shared" si="210"/>
        <v>83.1517087202767</v>
      </c>
      <c r="BL203" s="32">
        <f t="shared" si="205"/>
        <v>8.70390700549942</v>
      </c>
      <c r="BM203" s="31">
        <f t="shared" si="206"/>
        <v>71.5454343916294</v>
      </c>
      <c r="BO203">
        <f t="shared" si="207"/>
        <v>0</v>
      </c>
      <c r="BP203">
        <f t="shared" si="208"/>
        <v>0</v>
      </c>
    </row>
    <row r="204" spans="14:68">
      <c r="N204" s="7">
        <v>86</v>
      </c>
      <c r="O204" s="18">
        <f t="shared" si="211"/>
        <v>724.43596007499</v>
      </c>
      <c r="P204" s="86" t="str">
        <f t="shared" si="159"/>
        <v>60</v>
      </c>
      <c r="Q204" s="4" t="str">
        <f t="shared" si="160"/>
        <v>1+5,94764009697199i</v>
      </c>
      <c r="R204" s="4">
        <f t="shared" si="171"/>
        <v>6.03112118292354</v>
      </c>
      <c r="S204" s="4">
        <f t="shared" si="172"/>
        <v>1.40422039933926</v>
      </c>
      <c r="T204" s="4" t="str">
        <f t="shared" si="161"/>
        <v>1+0,071371681163664i</v>
      </c>
      <c r="U204" s="4">
        <f t="shared" si="173"/>
        <v>1.00254372317228</v>
      </c>
      <c r="V204" s="4">
        <f t="shared" si="174"/>
        <v>0.0712508630746753</v>
      </c>
      <c r="W204" t="str">
        <f t="shared" si="162"/>
        <v>1-0,0995698676948437i</v>
      </c>
      <c r="X204" s="4">
        <f t="shared" si="175"/>
        <v>1.00494485348837</v>
      </c>
      <c r="Y204" s="4">
        <f t="shared" si="176"/>
        <v>-0.0992427608098481</v>
      </c>
      <c r="Z204" t="str">
        <f t="shared" si="163"/>
        <v>0,999995715857467+0,0265674469137962i</v>
      </c>
      <c r="AA204" s="4">
        <f t="shared" si="177"/>
        <v>1.00034856973397</v>
      </c>
      <c r="AB204" s="4">
        <f t="shared" si="178"/>
        <v>0.0265613126049704</v>
      </c>
      <c r="AC204" s="67" t="str">
        <f t="shared" si="179"/>
        <v>1,12006901007707-9,95672871019546i</v>
      </c>
      <c r="AD204" s="68">
        <f t="shared" si="180"/>
        <v>20.0169478545666</v>
      </c>
      <c r="AE204" s="31">
        <f t="shared" si="181"/>
        <v>-83.5815710996943</v>
      </c>
      <c r="AF204" s="32" t="str">
        <f t="shared" si="182"/>
        <v>326,048966736478</v>
      </c>
      <c r="AG204" s="32" t="str">
        <f t="shared" si="164"/>
        <v>1+3,823482919482i</v>
      </c>
      <c r="AH204" s="32">
        <f t="shared" si="183"/>
        <v>3.95209079293108</v>
      </c>
      <c r="AI204" s="32">
        <f t="shared" si="184"/>
        <v>1.3149847855684</v>
      </c>
      <c r="AJ204" s="32" t="str">
        <f t="shared" si="165"/>
        <v>1+0,071371681163664i</v>
      </c>
      <c r="AK204" s="32">
        <f t="shared" si="185"/>
        <v>1.00254372317228</v>
      </c>
      <c r="AL204" s="32">
        <f t="shared" si="186"/>
        <v>0.0712508630746753</v>
      </c>
      <c r="AM204" s="32" t="str">
        <f t="shared" si="166"/>
        <v>1-0,011778811961912i</v>
      </c>
      <c r="AN204" s="32">
        <f t="shared" si="187"/>
        <v>1.00006936779967</v>
      </c>
      <c r="AO204" s="32">
        <f t="shared" si="188"/>
        <v>-0.0117782672748482</v>
      </c>
      <c r="AP204" s="30" t="str">
        <f t="shared" si="189"/>
        <v>25,6491148767712-78,6387592030731i</v>
      </c>
      <c r="AQ204" s="32">
        <f t="shared" si="190"/>
        <v>38.3517872453143</v>
      </c>
      <c r="AR204" s="31">
        <f t="shared" si="191"/>
        <v>-71.9355496009673</v>
      </c>
      <c r="AS204" t="str">
        <f t="shared" si="167"/>
        <v>-0,000100699300699301</v>
      </c>
      <c r="AT204" t="str">
        <f t="shared" si="168"/>
        <v>0,00102278168096144i</v>
      </c>
      <c r="AU204">
        <f t="shared" si="192"/>
        <v>0.00102278168096144</v>
      </c>
      <c r="AV204">
        <f t="shared" si="193"/>
        <v>1.5707963267949</v>
      </c>
      <c r="AW204" t="str">
        <f t="shared" si="169"/>
        <v>1+0,0523645460977651i</v>
      </c>
      <c r="AX204">
        <f t="shared" si="194"/>
        <v>1.00137008427855</v>
      </c>
      <c r="AY204">
        <f t="shared" si="195"/>
        <v>0.0523167626951166</v>
      </c>
      <c r="AZ204" t="str">
        <f t="shared" si="170"/>
        <v>1+2,50347095918464i</v>
      </c>
      <c r="BA204">
        <f t="shared" si="196"/>
        <v>2.6958054164722</v>
      </c>
      <c r="BB204">
        <f t="shared" si="197"/>
        <v>1.19076813031101</v>
      </c>
      <c r="BC204" s="30" t="str">
        <f t="shared" si="198"/>
        <v>-0,240666950205095+0,111058716277044i</v>
      </c>
      <c r="BD204" s="32">
        <f t="shared" si="199"/>
        <v>-11.5332511475084</v>
      </c>
      <c r="BE204" s="31">
        <f t="shared" si="200"/>
        <v>155.228458545287</v>
      </c>
      <c r="BF204" s="30" t="str">
        <f t="shared" si="201"/>
        <v>0,836217916198608+2,52064895910311i</v>
      </c>
      <c r="BG204" s="68">
        <f t="shared" si="202"/>
        <v>8.48369670705819</v>
      </c>
      <c r="BH204" s="31">
        <f t="shared" si="203"/>
        <v>71.6468874455929</v>
      </c>
      <c r="BI204" s="30" t="str">
        <f t="shared" si="209"/>
        <v>2,56062539386022+21,7743081171731i</v>
      </c>
      <c r="BJ204" s="68">
        <f t="shared" si="204"/>
        <v>26.8185360978059</v>
      </c>
      <c r="BK204" s="31">
        <f t="shared" si="210"/>
        <v>83.29290894432</v>
      </c>
      <c r="BL204" s="32">
        <f t="shared" si="205"/>
        <v>8.48369670705819</v>
      </c>
      <c r="BM204" s="31">
        <f t="shared" si="206"/>
        <v>71.6468874455929</v>
      </c>
      <c r="BO204">
        <f t="shared" si="207"/>
        <v>0</v>
      </c>
      <c r="BP204">
        <f t="shared" si="208"/>
        <v>0</v>
      </c>
    </row>
    <row r="205" spans="14:68">
      <c r="N205" s="7">
        <v>87</v>
      </c>
      <c r="O205" s="18">
        <f t="shared" si="211"/>
        <v>741.310241300918</v>
      </c>
      <c r="P205" s="86" t="str">
        <f t="shared" si="159"/>
        <v>60</v>
      </c>
      <c r="Q205" s="4" t="str">
        <f t="shared" si="160"/>
        <v>1+6,08617843183947i</v>
      </c>
      <c r="R205" s="4">
        <f t="shared" si="171"/>
        <v>6.16778468367598</v>
      </c>
      <c r="S205" s="4">
        <f t="shared" si="172"/>
        <v>1.40794469120446</v>
      </c>
      <c r="T205" s="4" t="str">
        <f t="shared" si="161"/>
        <v>1+0,0730341411820738i</v>
      </c>
      <c r="U205" s="4">
        <f t="shared" si="173"/>
        <v>1.00266344591703</v>
      </c>
      <c r="V205" s="4">
        <f t="shared" si="174"/>
        <v>0.0729047008332196</v>
      </c>
      <c r="W205" t="str">
        <f t="shared" si="162"/>
        <v>1-0,101889147854456i</v>
      </c>
      <c r="X205" s="4">
        <f t="shared" si="175"/>
        <v>1.00517729702302</v>
      </c>
      <c r="Y205" s="4">
        <f t="shared" si="176"/>
        <v>-0.101538743940926</v>
      </c>
      <c r="Z205" t="str">
        <f t="shared" si="163"/>
        <v>0,99999551395205+0,0271862822496787i</v>
      </c>
      <c r="AA205" s="4">
        <f t="shared" si="177"/>
        <v>1.00036499432296</v>
      </c>
      <c r="AB205" s="4">
        <f t="shared" si="178"/>
        <v>0.0271797093488622</v>
      </c>
      <c r="AC205" s="67" t="str">
        <f t="shared" si="179"/>
        <v>1,04705456545253-9,7447066223982i</v>
      </c>
      <c r="AD205" s="68">
        <f t="shared" si="180"/>
        <v>19.8252282665233</v>
      </c>
      <c r="AE205" s="31">
        <f t="shared" si="181"/>
        <v>-83.8671810484149</v>
      </c>
      <c r="AF205" s="32" t="str">
        <f t="shared" si="182"/>
        <v>326,048966736478</v>
      </c>
      <c r="AG205" s="32" t="str">
        <f t="shared" si="164"/>
        <v>1+3,91254327761109i</v>
      </c>
      <c r="AH205" s="32">
        <f t="shared" si="183"/>
        <v>4.03831584935846</v>
      </c>
      <c r="AI205" s="32">
        <f t="shared" si="184"/>
        <v>1.32056511058543</v>
      </c>
      <c r="AJ205" s="32" t="str">
        <f t="shared" si="165"/>
        <v>1+0,0730341411820738i</v>
      </c>
      <c r="AK205" s="32">
        <f t="shared" si="185"/>
        <v>1.00266344591703</v>
      </c>
      <c r="AL205" s="32">
        <f t="shared" si="186"/>
        <v>0.0729047008332196</v>
      </c>
      <c r="AM205" s="32" t="str">
        <f t="shared" si="166"/>
        <v>1-0,0120531757380173i</v>
      </c>
      <c r="AN205" s="32">
        <f t="shared" si="187"/>
        <v>1.00007263688463</v>
      </c>
      <c r="AO205" s="32">
        <f t="shared" si="188"/>
        <v>-0.0120525920976026</v>
      </c>
      <c r="AP205" s="30" t="str">
        <f t="shared" si="189"/>
        <v>24,7809879892919-77,0739071964376i</v>
      </c>
      <c r="AQ205" s="32">
        <f t="shared" si="190"/>
        <v>38.1653854318637</v>
      </c>
      <c r="AR205" s="31">
        <f t="shared" si="191"/>
        <v>-72.17623840375</v>
      </c>
      <c r="AS205" t="str">
        <f t="shared" si="167"/>
        <v>-0,000100699300699301</v>
      </c>
      <c r="AT205" t="str">
        <f t="shared" si="168"/>
        <v>0,00104660532676097i</v>
      </c>
      <c r="AU205">
        <f t="shared" si="192"/>
        <v>0.00104660532676097</v>
      </c>
      <c r="AV205">
        <f t="shared" si="193"/>
        <v>1.5707963267949</v>
      </c>
      <c r="AW205" t="str">
        <f t="shared" si="169"/>
        <v>1+0,0535842730658056i</v>
      </c>
      <c r="AX205">
        <f t="shared" si="194"/>
        <v>1.00143460810978</v>
      </c>
      <c r="AY205">
        <f t="shared" si="195"/>
        <v>0.053533076188004</v>
      </c>
      <c r="AZ205" t="str">
        <f t="shared" si="170"/>
        <v>1+2,56178428891202i</v>
      </c>
      <c r="BA205">
        <f t="shared" si="196"/>
        <v>2.75004340746041</v>
      </c>
      <c r="BB205">
        <f t="shared" si="197"/>
        <v>1.19863395437991</v>
      </c>
      <c r="BC205" s="30" t="str">
        <f t="shared" si="198"/>
        <v>-0,240635938188369+0,109109463472519i</v>
      </c>
      <c r="BD205" s="32">
        <f t="shared" si="199"/>
        <v>-11.5607906627613</v>
      </c>
      <c r="BE205" s="31">
        <f t="shared" si="200"/>
        <v>155.60944743712</v>
      </c>
      <c r="BF205" s="30" t="str">
        <f t="shared" si="201"/>
        <v>0,811280753574886+2,45917018231418i</v>
      </c>
      <c r="BG205" s="68">
        <f t="shared" si="202"/>
        <v>8.26443760376193</v>
      </c>
      <c r="BH205" s="31">
        <f t="shared" si="203"/>
        <v>71.7422663887056</v>
      </c>
      <c r="BI205" s="30" t="str">
        <f t="shared" si="209"/>
        <v>2,44629636789607+21,2505922718886i</v>
      </c>
      <c r="BJ205" s="68">
        <f t="shared" si="204"/>
        <v>26.6045947691024</v>
      </c>
      <c r="BK205" s="31">
        <f t="shared" si="210"/>
        <v>83.4332090333705</v>
      </c>
      <c r="BL205" s="32">
        <f t="shared" si="205"/>
        <v>8.26443760376193</v>
      </c>
      <c r="BM205" s="31">
        <f t="shared" si="206"/>
        <v>71.7422663887056</v>
      </c>
      <c r="BO205">
        <f t="shared" si="207"/>
        <v>0</v>
      </c>
      <c r="BP205">
        <f t="shared" si="208"/>
        <v>0</v>
      </c>
    </row>
    <row r="206" spans="14:68">
      <c r="N206" s="7">
        <v>88</v>
      </c>
      <c r="O206" s="18">
        <f t="shared" si="211"/>
        <v>758.577575029184</v>
      </c>
      <c r="P206" s="86" t="str">
        <f t="shared" si="159"/>
        <v>60</v>
      </c>
      <c r="Q206" s="4" t="str">
        <f t="shared" si="160"/>
        <v>1+6,2279437390716i</v>
      </c>
      <c r="R206" s="4">
        <f t="shared" si="171"/>
        <v>6.30771616490796</v>
      </c>
      <c r="S206" s="4">
        <f t="shared" si="172"/>
        <v>1.41158861744652</v>
      </c>
      <c r="T206" s="4" t="str">
        <f t="shared" si="161"/>
        <v>1+0,0747353248688593i</v>
      </c>
      <c r="U206" s="4">
        <f t="shared" si="173"/>
        <v>1.0027887957009</v>
      </c>
      <c r="V206" s="4">
        <f t="shared" si="174"/>
        <v>0.0745966478602131</v>
      </c>
      <c r="W206" t="str">
        <f t="shared" si="162"/>
        <v>1-0,104262450988922i</v>
      </c>
      <c r="X206" s="4">
        <f t="shared" si="175"/>
        <v>1.00542063768664</v>
      </c>
      <c r="Y206" s="4">
        <f t="shared" si="176"/>
        <v>-0.103887095673685</v>
      </c>
      <c r="Z206" t="str">
        <f t="shared" si="163"/>
        <v>0,999995302531124+0,0278195321122628i</v>
      </c>
      <c r="AA206" s="4">
        <f t="shared" si="177"/>
        <v>1.00038219269</v>
      </c>
      <c r="AB206" s="4">
        <f t="shared" si="178"/>
        <v>0.0278124892674573</v>
      </c>
      <c r="AC206" s="67" t="str">
        <f t="shared" si="179"/>
        <v>0,977150790558916-9,53679913516002i</v>
      </c>
      <c r="AD206" s="68">
        <f t="shared" si="180"/>
        <v>19.633408472259</v>
      </c>
      <c r="AE206" s="31">
        <f t="shared" si="181"/>
        <v>-84.1498274809307</v>
      </c>
      <c r="AF206" s="32" t="str">
        <f t="shared" si="182"/>
        <v>326,048966736478</v>
      </c>
      <c r="AG206" s="32" t="str">
        <f t="shared" si="164"/>
        <v>1+4,00367811797461i</v>
      </c>
      <c r="AH206" s="32">
        <f t="shared" si="183"/>
        <v>4.12667402060651</v>
      </c>
      <c r="AI206" s="32">
        <f t="shared" si="184"/>
        <v>1.32603383646104</v>
      </c>
      <c r="AJ206" s="32" t="str">
        <f t="shared" si="165"/>
        <v>1+0,0747353248688593i</v>
      </c>
      <c r="AK206" s="32">
        <f t="shared" si="185"/>
        <v>1.0027887957009</v>
      </c>
      <c r="AL206" s="32">
        <f t="shared" si="186"/>
        <v>0.0745966478602131</v>
      </c>
      <c r="AM206" s="32" t="str">
        <f t="shared" si="166"/>
        <v>1-0,0123339302674415i</v>
      </c>
      <c r="AN206" s="32">
        <f t="shared" si="187"/>
        <v>1.00007606002536</v>
      </c>
      <c r="AO206" s="32">
        <f t="shared" si="188"/>
        <v>-0.0123333048880386</v>
      </c>
      <c r="AP206" s="30" t="str">
        <f t="shared" si="189"/>
        <v>23,9472363400146-75,5311158877755i</v>
      </c>
      <c r="AQ206" s="32">
        <f t="shared" si="190"/>
        <v>37.9785033684257</v>
      </c>
      <c r="AR206" s="31">
        <f t="shared" si="191"/>
        <v>-72.4087155500775</v>
      </c>
      <c r="AS206" t="str">
        <f t="shared" si="167"/>
        <v>-0,000100699300699301</v>
      </c>
      <c r="AT206" t="str">
        <f t="shared" si="168"/>
        <v>0,00107098389655821i</v>
      </c>
      <c r="AU206">
        <f t="shared" si="192"/>
        <v>0.00107098389655821</v>
      </c>
      <c r="AV206">
        <f t="shared" si="193"/>
        <v>1.5707963267949</v>
      </c>
      <c r="AW206" t="str">
        <f t="shared" si="169"/>
        <v>1+0,0548324111246972i</v>
      </c>
      <c r="AX206">
        <f t="shared" si="194"/>
        <v>1.00150216839992</v>
      </c>
      <c r="AY206">
        <f t="shared" si="195"/>
        <v>0.0547775571248008</v>
      </c>
      <c r="AZ206" t="str">
        <f t="shared" si="170"/>
        <v>1+2,62145591057861i</v>
      </c>
      <c r="BA206">
        <f t="shared" si="196"/>
        <v>2.80571400736203</v>
      </c>
      <c r="BB206">
        <f t="shared" si="197"/>
        <v>1.20636768820298</v>
      </c>
      <c r="BC206" s="30" t="str">
        <f t="shared" si="198"/>
        <v>-0,240603473185375+0,107217905745551i</v>
      </c>
      <c r="BD206" s="32">
        <f t="shared" si="199"/>
        <v>-11.5872995947711</v>
      </c>
      <c r="BE206" s="31">
        <f t="shared" si="200"/>
        <v>155.981254239697</v>
      </c>
      <c r="BF206" s="30" t="str">
        <f t="shared" si="201"/>
        <v>0,787409756753529+2,39935505635212i</v>
      </c>
      <c r="BG206" s="68">
        <f t="shared" si="202"/>
        <v>8.04610887748794</v>
      </c>
      <c r="BH206" s="31">
        <f t="shared" si="203"/>
        <v>71.8314267587661</v>
      </c>
      <c r="BI206" s="30" t="str">
        <f t="shared" si="209"/>
        <v>2,33649982751326+20,740621344936i</v>
      </c>
      <c r="BJ206" s="68">
        <f t="shared" si="204"/>
        <v>26.3912037736547</v>
      </c>
      <c r="BK206" s="31">
        <f t="shared" si="210"/>
        <v>83.5725386896193</v>
      </c>
      <c r="BL206" s="32">
        <f t="shared" si="205"/>
        <v>8.04610887748794</v>
      </c>
      <c r="BM206" s="31">
        <f t="shared" si="206"/>
        <v>71.8314267587661</v>
      </c>
      <c r="BO206">
        <f t="shared" si="207"/>
        <v>0</v>
      </c>
      <c r="BP206">
        <f t="shared" si="208"/>
        <v>0</v>
      </c>
    </row>
    <row r="207" spans="14:68">
      <c r="N207" s="7">
        <v>89</v>
      </c>
      <c r="O207" s="18">
        <f t="shared" si="211"/>
        <v>776.247116628692</v>
      </c>
      <c r="P207" s="86" t="str">
        <f t="shared" si="159"/>
        <v>60</v>
      </c>
      <c r="Q207" s="4" t="str">
        <f t="shared" si="160"/>
        <v>1+6,37301118451077i</v>
      </c>
      <c r="R207" s="4">
        <f t="shared" si="171"/>
        <v>6.45098996727629</v>
      </c>
      <c r="S207" s="4">
        <f t="shared" si="172"/>
        <v>1.41515372284849</v>
      </c>
      <c r="T207" s="4" t="str">
        <f t="shared" si="161"/>
        <v>1+0,0764761342141294i</v>
      </c>
      <c r="U207" s="4">
        <f t="shared" si="173"/>
        <v>1.00292003624633</v>
      </c>
      <c r="V207" s="4">
        <f t="shared" si="174"/>
        <v>0.0763275624785721</v>
      </c>
      <c r="W207" t="str">
        <f t="shared" si="162"/>
        <v>1-0,10669103545498i</v>
      </c>
      <c r="X207" s="4">
        <f t="shared" si="175"/>
        <v>1.0056753835341</v>
      </c>
      <c r="Y207" s="4">
        <f t="shared" si="176"/>
        <v>-0.106288957473948</v>
      </c>
      <c r="Z207" t="str">
        <f t="shared" si="163"/>
        <v>0,999995081146236+0,028467532259008i</v>
      </c>
      <c r="AA207" s="4">
        <f t="shared" si="177"/>
        <v>1.00040020127426</v>
      </c>
      <c r="AB207" s="4">
        <f t="shared" si="178"/>
        <v>0.0284599858778684</v>
      </c>
      <c r="AC207" s="67" t="str">
        <f t="shared" si="179"/>
        <v>0,910231685717814-9,33296272069646i</v>
      </c>
      <c r="AD207" s="68">
        <f t="shared" si="180"/>
        <v>19.4415048193569</v>
      </c>
      <c r="AE207" s="31">
        <f t="shared" si="181"/>
        <v>-84.4296342388079</v>
      </c>
      <c r="AF207" s="32" t="str">
        <f t="shared" si="182"/>
        <v>326,048966736478</v>
      </c>
      <c r="AG207" s="32" t="str">
        <f t="shared" si="164"/>
        <v>1+4,09693576147122i</v>
      </c>
      <c r="AH207" s="32">
        <f t="shared" si="183"/>
        <v>4.21721266165482</v>
      </c>
      <c r="AI207" s="32">
        <f t="shared" si="184"/>
        <v>1.33139255380635</v>
      </c>
      <c r="AJ207" s="32" t="str">
        <f t="shared" si="165"/>
        <v>1+0,0764761342141294i</v>
      </c>
      <c r="AK207" s="32">
        <f t="shared" si="185"/>
        <v>1.00292003624633</v>
      </c>
      <c r="AL207" s="32">
        <f t="shared" si="186"/>
        <v>0.0763275624785721</v>
      </c>
      <c r="AM207" s="32" t="str">
        <f t="shared" si="166"/>
        <v>1-0,0126212244099524i</v>
      </c>
      <c r="AN207" s="32">
        <f t="shared" si="187"/>
        <v>1.00007964448118</v>
      </c>
      <c r="AO207" s="32">
        <f t="shared" si="188"/>
        <v>-0.0126205543067313</v>
      </c>
      <c r="AP207" s="30" t="str">
        <f t="shared" si="189"/>
        <v>23,1466903813737-74,0106762204488i</v>
      </c>
      <c r="AQ207" s="32">
        <f t="shared" si="190"/>
        <v>37.7911644392159</v>
      </c>
      <c r="AR207" s="31">
        <f t="shared" si="191"/>
        <v>-72.6330315145961</v>
      </c>
      <c r="AS207" t="str">
        <f t="shared" si="167"/>
        <v>-0,000100699300699301</v>
      </c>
      <c r="AT207" t="str">
        <f t="shared" si="168"/>
        <v>0,00109593031619355i</v>
      </c>
      <c r="AU207">
        <f t="shared" si="192"/>
        <v>0.00109593031619355</v>
      </c>
      <c r="AV207">
        <f t="shared" si="193"/>
        <v>1.5707963267949</v>
      </c>
      <c r="AW207" t="str">
        <f t="shared" si="169"/>
        <v>1+0,05610962205376i</v>
      </c>
      <c r="AX207">
        <f t="shared" si="194"/>
        <v>1.001572907824</v>
      </c>
      <c r="AY207">
        <f t="shared" si="195"/>
        <v>0.0560508499180861</v>
      </c>
      <c r="AZ207" t="str">
        <f t="shared" si="170"/>
        <v>1+2,68251746286805i</v>
      </c>
      <c r="BA207">
        <f t="shared" si="196"/>
        <v>2.86284822136837</v>
      </c>
      <c r="BB207">
        <f t="shared" si="197"/>
        <v>1.21396973081314</v>
      </c>
      <c r="BC207" s="30" t="str">
        <f t="shared" si="198"/>
        <v>-0,240569487541518+0,10538302906336i</v>
      </c>
      <c r="BD207" s="32">
        <f t="shared" si="199"/>
        <v>-11.6128146175109</v>
      </c>
      <c r="BE207" s="31">
        <f t="shared" si="200"/>
        <v>156.343864893798</v>
      </c>
      <c r="BF207" s="30" t="str">
        <f t="shared" si="201"/>
        <v>0,764561911465224+2,34114903115243i</v>
      </c>
      <c r="BG207" s="68">
        <f t="shared" si="202"/>
        <v>7.82869020184602</v>
      </c>
      <c r="BH207" s="31">
        <f t="shared" si="203"/>
        <v>71.9142306549899</v>
      </c>
      <c r="BI207" s="30" t="str">
        <f t="shared" si="209"/>
        <v>2,23108179980923+20,2439787961355i</v>
      </c>
      <c r="BJ207" s="68">
        <f t="shared" si="204"/>
        <v>26.178349821705</v>
      </c>
      <c r="BK207" s="31">
        <f t="shared" si="210"/>
        <v>83.7108333792017</v>
      </c>
      <c r="BL207" s="32">
        <f t="shared" si="205"/>
        <v>7.82869020184602</v>
      </c>
      <c r="BM207" s="31">
        <f t="shared" si="206"/>
        <v>71.9142306549899</v>
      </c>
      <c r="BO207">
        <f t="shared" si="207"/>
        <v>0</v>
      </c>
      <c r="BP207">
        <f t="shared" si="208"/>
        <v>0</v>
      </c>
    </row>
    <row r="208" spans="14:68">
      <c r="N208" s="7">
        <v>90</v>
      </c>
      <c r="O208" s="18">
        <f t="shared" si="211"/>
        <v>794.328234724282</v>
      </c>
      <c r="P208" s="86" t="str">
        <f t="shared" si="159"/>
        <v>60</v>
      </c>
      <c r="Q208" s="4" t="str">
        <f t="shared" si="160"/>
        <v>1+6,52145768483674i</v>
      </c>
      <c r="R208" s="4">
        <f t="shared" si="171"/>
        <v>6.5976821941585</v>
      </c>
      <c r="S208" s="4">
        <f t="shared" si="172"/>
        <v>1.41864153499201</v>
      </c>
      <c r="T208" s="4" t="str">
        <f t="shared" si="161"/>
        <v>1+0,078257492218041i</v>
      </c>
      <c r="U208" s="4">
        <f t="shared" si="173"/>
        <v>1.00305744356356</v>
      </c>
      <c r="V208" s="4">
        <f t="shared" si="174"/>
        <v>0.0780983209314583</v>
      </c>
      <c r="W208" t="str">
        <f t="shared" si="162"/>
        <v>1-0,109176188920258i</v>
      </c>
      <c r="X208" s="4">
        <f t="shared" si="175"/>
        <v>1.00594206603917</v>
      </c>
      <c r="Y208" s="4">
        <f t="shared" si="176"/>
        <v>-0.108745491930572</v>
      </c>
      <c r="Z208" t="str">
        <f t="shared" si="163"/>
        <v>0,9999948493278+0,0291306262681692i</v>
      </c>
      <c r="AA208" s="4">
        <f t="shared" si="177"/>
        <v>1.00041905822955</v>
      </c>
      <c r="AB208" s="4">
        <f t="shared" si="178"/>
        <v>0.02912254035801</v>
      </c>
      <c r="AC208" s="67" t="str">
        <f t="shared" si="179"/>
        <v>0,846175716652155-9,13315192114244i</v>
      </c>
      <c r="AD208" s="68">
        <f t="shared" si="180"/>
        <v>19.2495335311874</v>
      </c>
      <c r="AE208" s="31">
        <f t="shared" si="181"/>
        <v>-84.7067248004811</v>
      </c>
      <c r="AF208" s="32" t="str">
        <f t="shared" si="182"/>
        <v>326,048966736478</v>
      </c>
      <c r="AG208" s="32" t="str">
        <f t="shared" si="164"/>
        <v>1+4,19236565453791i</v>
      </c>
      <c r="AH208" s="32">
        <f t="shared" si="183"/>
        <v>4.3099802530115</v>
      </c>
      <c r="AI208" s="32">
        <f t="shared" si="184"/>
        <v>1.33664287231281</v>
      </c>
      <c r="AJ208" s="32" t="str">
        <f t="shared" si="165"/>
        <v>1+0,078257492218041i</v>
      </c>
      <c r="AK208" s="32">
        <f t="shared" si="185"/>
        <v>1.00305744356356</v>
      </c>
      <c r="AL208" s="32">
        <f t="shared" si="186"/>
        <v>0.0780983209314583</v>
      </c>
      <c r="AM208" s="32" t="str">
        <f t="shared" si="166"/>
        <v>1-0,0129152104927071i</v>
      </c>
      <c r="AN208" s="32">
        <f t="shared" si="187"/>
        <v>1.00008339785343</v>
      </c>
      <c r="AO208" s="32">
        <f t="shared" si="188"/>
        <v>-0.0129144924674031</v>
      </c>
      <c r="AP208" s="30" t="str">
        <f t="shared" si="189"/>
        <v>22,3782042461461-72,5128314510284i</v>
      </c>
      <c r="AQ208" s="32">
        <f t="shared" si="190"/>
        <v>37.6033914142803</v>
      </c>
      <c r="AR208" s="31">
        <f t="shared" si="191"/>
        <v>-72.8492370362726</v>
      </c>
      <c r="AS208" t="str">
        <f t="shared" si="167"/>
        <v>-0,000100699300699301</v>
      </c>
      <c r="AT208" t="str">
        <f t="shared" si="168"/>
        <v>0,00112145781258889i</v>
      </c>
      <c r="AU208">
        <f t="shared" si="192"/>
        <v>0.00112145781258889</v>
      </c>
      <c r="AV208">
        <f t="shared" si="193"/>
        <v>1.5707963267949</v>
      </c>
      <c r="AW208" t="str">
        <f t="shared" si="169"/>
        <v>1+0,0574165830471342i</v>
      </c>
      <c r="AX208">
        <f t="shared" si="194"/>
        <v>1.00164697573986</v>
      </c>
      <c r="AY208">
        <f t="shared" si="195"/>
        <v>0.0573536131603414</v>
      </c>
      <c r="AZ208" t="str">
        <f t="shared" si="170"/>
        <v>1+2,74500132142363i</v>
      </c>
      <c r="BA208">
        <f t="shared" si="196"/>
        <v>2.92147775186077</v>
      </c>
      <c r="BB208">
        <f t="shared" si="197"/>
        <v>1.22144059727073</v>
      </c>
      <c r="BC208" s="30" t="str">
        <f t="shared" si="198"/>
        <v>-0,240533910492538+0,103603848660295i</v>
      </c>
      <c r="BD208" s="32">
        <f t="shared" si="199"/>
        <v>-11.6373717381099</v>
      </c>
      <c r="BE208" s="31">
        <f t="shared" si="200"/>
        <v>156.697271175638</v>
      </c>
      <c r="BF208" s="30" t="str">
        <f t="shared" si="201"/>
        <v>0,742695735339355+2,28449980760287i</v>
      </c>
      <c r="BG208" s="68">
        <f t="shared" si="202"/>
        <v>7.61216179307747</v>
      </c>
      <c r="BH208" s="31">
        <f t="shared" si="203"/>
        <v>71.9905463751566</v>
      </c>
      <c r="BI208" s="30" t="str">
        <f t="shared" si="209"/>
        <v>2,12989143845559+19,7602629958091i</v>
      </c>
      <c r="BJ208" s="68">
        <f t="shared" si="204"/>
        <v>25.9660196761705</v>
      </c>
      <c r="BK208" s="31">
        <f t="shared" si="210"/>
        <v>83.8480341393651</v>
      </c>
      <c r="BL208" s="32">
        <f t="shared" si="205"/>
        <v>7.61216179307747</v>
      </c>
      <c r="BM208" s="31">
        <f t="shared" si="206"/>
        <v>71.9905463751566</v>
      </c>
      <c r="BO208">
        <f t="shared" si="207"/>
        <v>0</v>
      </c>
      <c r="BP208">
        <f t="shared" si="208"/>
        <v>0</v>
      </c>
    </row>
    <row r="209" spans="14:68">
      <c r="N209" s="7">
        <v>91</v>
      </c>
      <c r="O209" s="18">
        <f t="shared" si="211"/>
        <v>812.8305161641</v>
      </c>
      <c r="P209" s="86" t="str">
        <f t="shared" si="159"/>
        <v>60</v>
      </c>
      <c r="Q209" s="4" t="str">
        <f t="shared" si="160"/>
        <v>1+6,6733619483489i</v>
      </c>
      <c r="R209" s="4">
        <f t="shared" si="171"/>
        <v>6.74787075259085</v>
      </c>
      <c r="S209" s="4">
        <f t="shared" si="172"/>
        <v>1.42205356355766</v>
      </c>
      <c r="T209" s="4" t="str">
        <f t="shared" si="161"/>
        <v>1+0,0800803433801869i</v>
      </c>
      <c r="U209" s="4">
        <f t="shared" si="173"/>
        <v>1.00320130651624</v>
      </c>
      <c r="V209" s="4">
        <f t="shared" si="174"/>
        <v>0.0799098176547043</v>
      </c>
      <c r="W209" t="str">
        <f t="shared" si="162"/>
        <v>1-0,11171922904602i</v>
      </c>
      <c r="X209" s="4">
        <f t="shared" si="175"/>
        <v>1.0062212411486</v>
      </c>
      <c r="Y209" s="4">
        <f t="shared" si="176"/>
        <v>-0.111257882873229</v>
      </c>
      <c r="Z209" t="str">
        <f t="shared" si="163"/>
        <v>0,999994606584098+0,0298091657209672i</v>
      </c>
      <c r="AA209" s="4">
        <f t="shared" si="177"/>
        <v>1.00043880350487</v>
      </c>
      <c r="AB209" s="4">
        <f t="shared" si="178"/>
        <v>0.0298005017173558</v>
      </c>
      <c r="AC209" s="67" t="str">
        <f t="shared" si="179"/>
        <v>0,784865709137713-8,93731955954272i</v>
      </c>
      <c r="AD209" s="68">
        <f t="shared" si="180"/>
        <v>19.0575107338258</v>
      </c>
      <c r="AE209" s="31">
        <f t="shared" si="181"/>
        <v>-84.9812222420919</v>
      </c>
      <c r="AF209" s="32" t="str">
        <f t="shared" si="182"/>
        <v>326,048966736478</v>
      </c>
      <c r="AG209" s="32" t="str">
        <f t="shared" si="164"/>
        <v>1+4,29001839536716i</v>
      </c>
      <c r="AH209" s="32">
        <f t="shared" si="183"/>
        <v>4.40502642813736</v>
      </c>
      <c r="AI209" s="32">
        <f t="shared" si="184"/>
        <v>1.34178641742762</v>
      </c>
      <c r="AJ209" s="32" t="str">
        <f t="shared" si="165"/>
        <v>1+0,0800803433801869i</v>
      </c>
      <c r="AK209" s="32">
        <f t="shared" si="185"/>
        <v>1.00320130651624</v>
      </c>
      <c r="AL209" s="32">
        <f t="shared" si="186"/>
        <v>0.0799098176547043</v>
      </c>
      <c r="AM209" s="32" t="str">
        <f t="shared" si="166"/>
        <v>1-0,013216044391018i</v>
      </c>
      <c r="AN209" s="32">
        <f t="shared" si="187"/>
        <v>1.00008732810157</v>
      </c>
      <c r="AO209" s="32">
        <f t="shared" si="188"/>
        <v>-0.0132152750166715</v>
      </c>
      <c r="AP209" s="30" t="str">
        <f t="shared" si="189"/>
        <v>21,64065673234-71,0377798725872i</v>
      </c>
      <c r="AQ209" s="32">
        <f t="shared" si="190"/>
        <v>37.4152064693938</v>
      </c>
      <c r="AR209" s="31">
        <f t="shared" si="191"/>
        <v>-73.0573829168669</v>
      </c>
      <c r="AS209" t="str">
        <f t="shared" si="167"/>
        <v>-0,000100699300699301</v>
      </c>
      <c r="AT209" t="str">
        <f t="shared" si="168"/>
        <v>0,00114757992076071i</v>
      </c>
      <c r="AU209">
        <f t="shared" si="192"/>
        <v>0.00114757992076071</v>
      </c>
      <c r="AV209">
        <f t="shared" si="193"/>
        <v>1.5707963267949</v>
      </c>
      <c r="AW209" t="str">
        <f t="shared" si="169"/>
        <v>1+0,0587539870728384i</v>
      </c>
      <c r="AX209">
        <f t="shared" si="194"/>
        <v>1.00172452849921</v>
      </c>
      <c r="AY209">
        <f t="shared" si="195"/>
        <v>0.0586865198955548</v>
      </c>
      <c r="AZ209" t="str">
        <f t="shared" si="170"/>
        <v>1+2,80894061601421i</v>
      </c>
      <c r="BA209">
        <f t="shared" si="196"/>
        <v>2.98163501862557</v>
      </c>
      <c r="BB209">
        <f t="shared" si="197"/>
        <v>1.22878091192079</v>
      </c>
      <c r="BC209" s="30" t="str">
        <f t="shared" si="198"/>
        <v>-0,24049666802547+0,101879408460494i</v>
      </c>
      <c r="BD209" s="32">
        <f t="shared" si="199"/>
        <v>-11.6610062767671</v>
      </c>
      <c r="BE209" s="31">
        <f t="shared" si="200"/>
        <v>157.041470294972</v>
      </c>
      <c r="BF209" s="30" t="str">
        <f t="shared" si="201"/>
        <v>0,721771242053547+2,22935722931676i</v>
      </c>
      <c r="BG209" s="68">
        <f t="shared" si="202"/>
        <v>7.39650445705871</v>
      </c>
      <c r="BH209" s="31">
        <f t="shared" si="203"/>
        <v>72.0602480528804</v>
      </c>
      <c r="BI209" s="30" t="str">
        <f t="shared" si="209"/>
        <v>2,03278115375524+19,2890866698714i</v>
      </c>
      <c r="BJ209" s="68">
        <f t="shared" si="204"/>
        <v>25.7542001926267</v>
      </c>
      <c r="BK209" s="31">
        <f t="shared" si="210"/>
        <v>83.9840873781054</v>
      </c>
      <c r="BL209" s="32">
        <f t="shared" si="205"/>
        <v>7.39650445705871</v>
      </c>
      <c r="BM209" s="31">
        <f t="shared" si="206"/>
        <v>72.0602480528804</v>
      </c>
      <c r="BO209">
        <f t="shared" si="207"/>
        <v>0</v>
      </c>
      <c r="BP209">
        <f t="shared" si="208"/>
        <v>0</v>
      </c>
    </row>
    <row r="210" spans="14:68">
      <c r="N210" s="7">
        <v>92</v>
      </c>
      <c r="O210" s="18">
        <f t="shared" si="211"/>
        <v>831.763771102671</v>
      </c>
      <c r="P210" s="86" t="str">
        <f t="shared" si="159"/>
        <v>60</v>
      </c>
      <c r="Q210" s="4" t="str">
        <f t="shared" si="160"/>
        <v>1+6,82880451669847i</v>
      </c>
      <c r="R210" s="4">
        <f t="shared" si="171"/>
        <v>6.90163539512784</v>
      </c>
      <c r="S210" s="4">
        <f t="shared" si="172"/>
        <v>1.42539129970308</v>
      </c>
      <c r="T210" s="4" t="str">
        <f t="shared" si="161"/>
        <v>1+0,0819456542003818i</v>
      </c>
      <c r="U210" s="4">
        <f t="shared" si="173"/>
        <v>1.00335192741247</v>
      </c>
      <c r="V210" s="4">
        <f t="shared" si="174"/>
        <v>0.0817629655456038</v>
      </c>
      <c r="W210" t="str">
        <f t="shared" si="162"/>
        <v>1-0,1143215041858i</v>
      </c>
      <c r="X210" s="4">
        <f t="shared" si="175"/>
        <v>1.00651349038118</v>
      </c>
      <c r="Y210" s="4">
        <f t="shared" si="176"/>
        <v>-0.113827335468101</v>
      </c>
      <c r="Z210" t="str">
        <f t="shared" si="163"/>
        <v>0,999994352400237+0,0305035103880014i</v>
      </c>
      <c r="AA210" s="4">
        <f t="shared" si="177"/>
        <v>1.00045947892874</v>
      </c>
      <c r="AB210" s="4">
        <f t="shared" si="178"/>
        <v>0.0304942269711236</v>
      </c>
      <c r="AC210" s="67" t="str">
        <f t="shared" si="179"/>
        <v>0,726188740926319-8,74541693802965i</v>
      </c>
      <c r="AD210" s="68">
        <f t="shared" si="180"/>
        <v>18.8654524830991</v>
      </c>
      <c r="AE210" s="31">
        <f t="shared" si="181"/>
        <v>-85.2532492019184</v>
      </c>
      <c r="AF210" s="32" t="str">
        <f t="shared" si="182"/>
        <v>326,048966736478</v>
      </c>
      <c r="AG210" s="32" t="str">
        <f t="shared" si="164"/>
        <v>1+4,38994576073474i</v>
      </c>
      <c r="AH210" s="32">
        <f t="shared" si="183"/>
        <v>4.50240200139802</v>
      </c>
      <c r="AI210" s="32">
        <f t="shared" si="184"/>
        <v>1.34682482722183</v>
      </c>
      <c r="AJ210" s="32" t="str">
        <f t="shared" si="165"/>
        <v>1+0,0819456542003818i</v>
      </c>
      <c r="AK210" s="32">
        <f t="shared" si="185"/>
        <v>1.00335192741247</v>
      </c>
      <c r="AL210" s="32">
        <f t="shared" si="186"/>
        <v>0.0817629655456038</v>
      </c>
      <c r="AM210" s="32" t="str">
        <f t="shared" si="166"/>
        <v>1-0,0135238856110001i</v>
      </c>
      <c r="AN210" s="32">
        <f t="shared" si="187"/>
        <v>1.00009144356005</v>
      </c>
      <c r="AO210" s="32">
        <f t="shared" si="188"/>
        <v>-0.0135230612156059</v>
      </c>
      <c r="AP210" s="30" t="str">
        <f t="shared" si="189"/>
        <v>20,9329521192677-69,5856774647924i</v>
      </c>
      <c r="AQ210" s="32">
        <f t="shared" si="190"/>
        <v>37.2266312067237</v>
      </c>
      <c r="AR210" s="31">
        <f t="shared" si="191"/>
        <v>-73.2575198307619</v>
      </c>
      <c r="AS210" t="str">
        <f t="shared" si="167"/>
        <v>-0,000100699300699301</v>
      </c>
      <c r="AT210" t="str">
        <f t="shared" si="168"/>
        <v>0,00117431049099654i</v>
      </c>
      <c r="AU210">
        <f t="shared" si="192"/>
        <v>0.00117431049099654</v>
      </c>
      <c r="AV210">
        <f t="shared" si="193"/>
        <v>1.5707963267949</v>
      </c>
      <c r="AW210" t="str">
        <f t="shared" si="169"/>
        <v>1+0,0601225432401895i</v>
      </c>
      <c r="AX210">
        <f t="shared" si="194"/>
        <v>1.00180572977283</v>
      </c>
      <c r="AY210">
        <f t="shared" si="195"/>
        <v>0.0600502578930376</v>
      </c>
      <c r="AZ210" t="str">
        <f t="shared" si="170"/>
        <v>1+2,87436924810012i</v>
      </c>
      <c r="BA210">
        <f t="shared" si="196"/>
        <v>3.04335317937693</v>
      </c>
      <c r="BB210">
        <f t="shared" si="197"/>
        <v>1.23599140174844</v>
      </c>
      <c r="BC210" s="30" t="str">
        <f t="shared" si="198"/>
        <v>-0,24045768273377+0,100208780511908i</v>
      </c>
      <c r="BD210" s="32">
        <f t="shared" si="199"/>
        <v>-11.6837528504946</v>
      </c>
      <c r="BE210" s="31">
        <f t="shared" si="200"/>
        <v>157.376464498701</v>
      </c>
      <c r="BF210" s="30" t="str">
        <f t="shared" si="201"/>
        <v>0,701749904557639+2,17567317960898i</v>
      </c>
      <c r="BG210" s="68">
        <f t="shared" si="202"/>
        <v>7.18169963260452</v>
      </c>
      <c r="BH210" s="31">
        <f t="shared" si="203"/>
        <v>72.1232152967825</v>
      </c>
      <c r="BI210" s="30" t="str">
        <f t="shared" si="209"/>
        <v>1,93960672046573+18,8300763590295i</v>
      </c>
      <c r="BJ210" s="68">
        <f t="shared" si="204"/>
        <v>25.5428783562291</v>
      </c>
      <c r="BK210" s="31">
        <f t="shared" si="210"/>
        <v>84.118944667939</v>
      </c>
      <c r="BL210" s="32">
        <f t="shared" si="205"/>
        <v>7.18169963260452</v>
      </c>
      <c r="BM210" s="31">
        <f t="shared" si="206"/>
        <v>72.1232152967825</v>
      </c>
      <c r="BO210">
        <f t="shared" si="207"/>
        <v>0</v>
      </c>
      <c r="BP210">
        <f t="shared" si="208"/>
        <v>0</v>
      </c>
    </row>
    <row r="211" spans="14:68">
      <c r="N211" s="7">
        <v>93</v>
      </c>
      <c r="O211" s="18">
        <f t="shared" si="211"/>
        <v>851.138038202378</v>
      </c>
      <c r="P211" s="86" t="str">
        <f t="shared" ref="P211:P274" si="212">COMPLEX(Adc,0)</f>
        <v>60</v>
      </c>
      <c r="Q211" s="4" t="str">
        <f t="shared" ref="Q211:Q274" si="213">IMSUM(COMPLEX(1,0),IMDIV(COMPLEX(0,2*PI()*O211),COMPLEX(wp_lf,0)))</f>
        <v>1+6,98786780759272i</v>
      </c>
      <c r="R211" s="4">
        <f t="shared" si="171"/>
        <v>7.05905776264727</v>
      </c>
      <c r="S211" s="4">
        <f t="shared" si="172"/>
        <v>1.42865621551391</v>
      </c>
      <c r="T211" s="4" t="str">
        <f t="shared" ref="T211:T274" si="214">IMSUM(COMPLEX(1,0),IMDIV(COMPLEX(0,2*PI()*O211),COMPLEX(wz_esr,0)))</f>
        <v>1+0,0838544136911127i</v>
      </c>
      <c r="U211" s="4">
        <f t="shared" si="173"/>
        <v>1.00350962262226</v>
      </c>
      <c r="V211" s="4">
        <f t="shared" si="174"/>
        <v>0.0836586962273156</v>
      </c>
      <c r="W211" t="str">
        <f t="shared" ref="W211:W274" si="215">IMSUB(COMPLEX(1,0),IMDIV(COMPLEX(0,2*PI()*O211),COMPLEX(wz_rhp,0)))</f>
        <v>1-0,116984394100325i</v>
      </c>
      <c r="X211" s="4">
        <f t="shared" si="175"/>
        <v>1.00681942197348</v>
      </c>
      <c r="Y211" s="4">
        <f t="shared" si="176"/>
        <v>-0.116455076289497</v>
      </c>
      <c r="Z211" t="str">
        <f t="shared" ref="Z211:Z274" si="216">IMSUM(COMPLEX(1,0),IMDIV(COMPLEX(0,2*PI()*O211),COMPLEX(Q*(wsl/2),0)),IMDIV(IMPOWER(COMPLEX(0,2*PI()*O211),2),IMPOWER(COMPLEX(wsl/2,0),2)))</f>
        <v>0,999994086237061+0,031214028420005i</v>
      </c>
      <c r="AA211" s="4">
        <f t="shared" si="177"/>
        <v>1.00048112829743</v>
      </c>
      <c r="AB211" s="4">
        <f t="shared" si="178"/>
        <v>0.0312040813179337</v>
      </c>
      <c r="AC211" s="67" t="str">
        <f t="shared" si="179"/>
        <v>0,670036031592284-8,55739402371649i</v>
      </c>
      <c r="AD211" s="68">
        <f t="shared" si="180"/>
        <v>18.6733747917669</v>
      </c>
      <c r="AE211" s="31">
        <f t="shared" si="181"/>
        <v>-85.5229278480504</v>
      </c>
      <c r="AF211" s="32" t="str">
        <f t="shared" si="182"/>
        <v>326,048966736478</v>
      </c>
      <c r="AG211" s="32" t="str">
        <f t="shared" ref="AG211:AG274" si="217">IMSUM(COMPLEX(1,0),IMDIV(COMPLEX(0,2*PI()*O211),COMPLEX(wp_lf_DCM,0)))</f>
        <v>1+4,49220073345247i</v>
      </c>
      <c r="AH211" s="32">
        <f t="shared" si="183"/>
        <v>4.60215899656139</v>
      </c>
      <c r="AI211" s="32">
        <f t="shared" si="184"/>
        <v>1.35175974944578</v>
      </c>
      <c r="AJ211" s="32" t="str">
        <f t="shared" ref="AJ211:AJ274" si="218">IMSUM(COMPLEX(1,0),IMDIV(COMPLEX(0,2*PI()*O211),COMPLEX(wz1_dcm,0)))</f>
        <v>1+0,0838544136911127i</v>
      </c>
      <c r="AK211" s="32">
        <f t="shared" si="185"/>
        <v>1.00350962262226</v>
      </c>
      <c r="AL211" s="32">
        <f t="shared" si="186"/>
        <v>0.0836586962273156</v>
      </c>
      <c r="AM211" s="32" t="str">
        <f t="shared" ref="AM211:AM274" si="219">IMSUB(COMPLEX(1,0),IMDIV(COMPLEX(0,2*PI()*O211),COMPLEX(wz2_dcm,0)))</f>
        <v>1-0,0138388973741429i</v>
      </c>
      <c r="AN211" s="32">
        <f t="shared" si="187"/>
        <v>1.00009575295595</v>
      </c>
      <c r="AO211" s="32">
        <f t="shared" si="188"/>
        <v>-0.0138380140231307</v>
      </c>
      <c r="AP211" s="30" t="str">
        <f t="shared" si="189"/>
        <v>20,2540208273811-68,1566404654538i</v>
      </c>
      <c r="AQ211" s="32">
        <f t="shared" si="190"/>
        <v>37.0376866761666</v>
      </c>
      <c r="AR211" s="31">
        <f t="shared" si="191"/>
        <v>-73.4496981458805</v>
      </c>
      <c r="AS211" t="str">
        <f t="shared" ref="AS211:AS274" si="220">COMPLEX(Adc_ea,0)</f>
        <v>-0,000100699300699301</v>
      </c>
      <c r="AT211" t="str">
        <f t="shared" ref="AT211:AT274" si="221">COMPLEX(0,2*PI()*O211*wp0_ea)</f>
        <v>0,00120166369619853i</v>
      </c>
      <c r="AU211">
        <f t="shared" si="192"/>
        <v>0.00120166369619853</v>
      </c>
      <c r="AV211">
        <f t="shared" si="193"/>
        <v>1.5707963267949</v>
      </c>
      <c r="AW211" t="str">
        <f t="shared" ref="AW211:AW274" si="222">IMSUM(COMPLEX(1,0),IMDIV(COMPLEX(0,2*PI()*O211),COMPLEX(wp1_ea,0)))</f>
        <v>1+0,0615229771757827i</v>
      </c>
      <c r="AX211">
        <f t="shared" si="194"/>
        <v>1.00189075089082</v>
      </c>
      <c r="AY211">
        <f t="shared" si="195"/>
        <v>0.0614455299232241</v>
      </c>
      <c r="AZ211" t="str">
        <f t="shared" ref="AZ211:AZ274" si="223">IMSUM(COMPLEX(1,0),IMDIV(COMPLEX(0,2*PI()*O211),COMPLEX(wz_ea,0)))</f>
        <v>1+2,94132190880816i</v>
      </c>
      <c r="BA211">
        <f t="shared" si="196"/>
        <v>3.10666615059212</v>
      </c>
      <c r="BB211">
        <f t="shared" si="197"/>
        <v>1.24307288985392</v>
      </c>
      <c r="BC211" s="30" t="str">
        <f t="shared" si="198"/>
        <v>-0,24041687366641+0,0985910644311751i</v>
      </c>
      <c r="BD211" s="32">
        <f t="shared" si="199"/>
        <v>-11.7056453604918</v>
      </c>
      <c r="BE211" s="31">
        <f t="shared" si="200"/>
        <v>157.702260681215</v>
      </c>
      <c r="BF211" s="30" t="str">
        <f t="shared" si="201"/>
        <v>0,68259461759592+2,12340148347546i</v>
      </c>
      <c r="BG211" s="68">
        <f t="shared" si="202"/>
        <v>6.96772943127508</v>
      </c>
      <c r="BH211" s="31">
        <f t="shared" si="203"/>
        <v>72.1793328331643</v>
      </c>
      <c r="BI211" s="30" t="str">
        <f t="shared" si="209"/>
        <v>1,85022736504867+18,3828718926926i</v>
      </c>
      <c r="BJ211" s="68">
        <f t="shared" si="204"/>
        <v>25.3320413156748</v>
      </c>
      <c r="BK211" s="31">
        <f t="shared" si="210"/>
        <v>84.2525625353342</v>
      </c>
      <c r="BL211" s="32">
        <f t="shared" si="205"/>
        <v>6.96772943127508</v>
      </c>
      <c r="BM211" s="31">
        <f t="shared" si="206"/>
        <v>72.1793328331643</v>
      </c>
      <c r="BO211">
        <f t="shared" si="207"/>
        <v>0</v>
      </c>
      <c r="BP211">
        <f t="shared" si="208"/>
        <v>0</v>
      </c>
    </row>
    <row r="212" spans="14:68">
      <c r="N212" s="7">
        <v>94</v>
      </c>
      <c r="O212" s="18">
        <f t="shared" si="211"/>
        <v>870.963589956081</v>
      </c>
      <c r="P212" s="86" t="str">
        <f t="shared" si="212"/>
        <v>60</v>
      </c>
      <c r="Q212" s="4" t="str">
        <f t="shared" si="213"/>
        <v>1+7,15063615849389i</v>
      </c>
      <c r="R212" s="4">
        <f t="shared" ref="R212:R275" si="224">IMABS(Q212)</f>
        <v>7.22022142812533</v>
      </c>
      <c r="S212" s="4">
        <f t="shared" ref="S212:S275" si="225">IMARGUMENT(Q212)</f>
        <v>1.43184976352309</v>
      </c>
      <c r="T212" s="4" t="str">
        <f t="shared" si="214"/>
        <v>1+0,0858076339019268i</v>
      </c>
      <c r="U212" s="4">
        <f t="shared" ref="U212:U275" si="226">IMABS(T212)</f>
        <v>1.00367472322254</v>
      </c>
      <c r="V212" s="4">
        <f t="shared" ref="V212:V275" si="227">IMARGUMENT(T212)</f>
        <v>0.0855979603080713</v>
      </c>
      <c r="W212" t="str">
        <f t="shared" si="215"/>
        <v>1-0,119709310689072i</v>
      </c>
      <c r="X212" s="4">
        <f t="shared" ref="X212:X275" si="228">IMABS(W212)</f>
        <v>1.00713967207416</v>
      </c>
      <c r="Y212" s="4">
        <f t="shared" ref="Y212:Y275" si="229">IMARGUMENT(W212)</f>
        <v>-0.119142353365141</v>
      </c>
      <c r="Z212" t="str">
        <f t="shared" si="216"/>
        <v>0,99999380753+0,0319410965430434i</v>
      </c>
      <c r="AA212" s="4">
        <f t="shared" ref="AA212:AA275" si="230">IMABS(Z212)</f>
        <v>1.00050379746742</v>
      </c>
      <c r="AB212" s="4">
        <f t="shared" ref="AB212:AB275" si="231">IMARGUMENT(Z212)</f>
        <v>0.0319304383209776</v>
      </c>
      <c r="AC212" s="67" t="str">
        <f t="shared" ref="AC212:AC275" si="232">(IMDIV(IMPRODUCT(P212,T212,W212),IMPRODUCT(Q212,Z212)))</f>
        <v>0,616302830892479-8,37319962283309i</v>
      </c>
      <c r="AD212" s="68">
        <f t="shared" ref="AD212:AD275" si="233">20*LOG(IMABS(AC212))</f>
        <v>18.4812936568448</v>
      </c>
      <c r="AE212" s="31">
        <f t="shared" ref="AE212:AE275" si="234">(180/PI())*IMARGUMENT(AC212)</f>
        <v>-85.7903798489708</v>
      </c>
      <c r="AF212" s="32" t="str">
        <f t="shared" ref="AF212:AF275" si="235">COMPLEX($B$68,0)</f>
        <v>326,048966736478</v>
      </c>
      <c r="AG212" s="32" t="str">
        <f t="shared" si="217"/>
        <v>1+4,59683753046036i</v>
      </c>
      <c r="AH212" s="32">
        <f t="shared" ref="AH212:AH275" si="236">IMABS(AG212)</f>
        <v>4.70435067585835</v>
      </c>
      <c r="AI212" s="32">
        <f t="shared" ref="AI212:AI275" si="237">IMARGUMENT(AG212)</f>
        <v>1.356592838766</v>
      </c>
      <c r="AJ212" s="32" t="str">
        <f t="shared" si="218"/>
        <v>1+0,0858076339019268i</v>
      </c>
      <c r="AK212" s="32">
        <f t="shared" ref="AK212:AK275" si="238">IMABS(AJ212)</f>
        <v>1.00367472322254</v>
      </c>
      <c r="AL212" s="32">
        <f t="shared" ref="AL212:AL275" si="239">IMARGUMENT(AJ212)</f>
        <v>0.0855979603080713</v>
      </c>
      <c r="AM212" s="32" t="str">
        <f t="shared" si="219"/>
        <v>1-0,0141612467038529i</v>
      </c>
      <c r="AN212" s="32">
        <f t="shared" ref="AN212:AN275" si="240">IMABS(AM212)</f>
        <v>1.00010026542753</v>
      </c>
      <c r="AO212" s="32">
        <f t="shared" ref="AO212:AO275" si="241">IMARGUMENT(AM212)</f>
        <v>-0.0141603001813151</v>
      </c>
      <c r="AP212" s="30" t="str">
        <f t="shared" ref="AP212:AP275" si="242">(IMDIV(IMPRODUCT(AF212,AJ212,AM212),IMPRODUCT(AG212)))</f>
        <v>19,6028199340282-66,7507478592637i</v>
      </c>
      <c r="AQ212" s="32">
        <f t="shared" ref="AQ212:AQ275" si="243">20*LOG(IMABS(AP212))</f>
        <v>36.8483933972715</v>
      </c>
      <c r="AR212" s="31">
        <f t="shared" ref="AR212:AR275" si="244">(180/PI())*IMARGUMENT(AP212)</f>
        <v>-73.63396775541</v>
      </c>
      <c r="AS212" t="str">
        <f t="shared" si="220"/>
        <v>-0,000100699300699301</v>
      </c>
      <c r="AT212" t="str">
        <f t="shared" si="221"/>
        <v>0,00122965403939815i</v>
      </c>
      <c r="AU212">
        <f t="shared" ref="AU212:AU275" si="245">IMABS(AT212)</f>
        <v>0.00122965403939815</v>
      </c>
      <c r="AV212">
        <f t="shared" ref="AV212:AV275" si="246">IMARGUMENT(AT212)</f>
        <v>1.5707963267949</v>
      </c>
      <c r="AW212" t="str">
        <f t="shared" si="222"/>
        <v>1+0,062956031408227i</v>
      </c>
      <c r="AX212">
        <f t="shared" ref="AX212:AX275" si="247">IMABS(AW212)</f>
        <v>1.00197977119834</v>
      </c>
      <c r="AY212">
        <f t="shared" ref="AY212:AY275" si="248">IMARGUMENT(AW212)</f>
        <v>0.0628730540351938</v>
      </c>
      <c r="AZ212" t="str">
        <f t="shared" si="223"/>
        <v>1+3,00983409732523i</v>
      </c>
      <c r="BA212">
        <f t="shared" ref="BA212:BA275" si="249">IMABS(AZ212)</f>
        <v>3.17160862866489</v>
      </c>
      <c r="BB212">
        <f t="shared" ref="BB212:BB275" si="250">IMARGUMENT(AZ212)</f>
        <v>1.25002628906672</v>
      </c>
      <c r="BC212" s="30" t="str">
        <f t="shared" ref="BC212:BC275" si="251">IMPRODUCT(AS212,IMDIV(AZ212,IMPRODUCT(AT212,AW212)))</f>
        <v>-0,24037415617067+0,0970253868587234i</v>
      </c>
      <c r="BD212" s="32">
        <f t="shared" ref="BD212:BD275" si="252">20*LOG(IMABS(BC212))</f>
        <v>-11.7267169829526</v>
      </c>
      <c r="BE212" s="31">
        <f t="shared" ref="BE212:BE275" si="253">(180/PI())*IMARGUMENT(BC212)</f>
        <v>158.018870002609</v>
      </c>
      <c r="BF212" s="30" t="str">
        <f t="shared" ref="BF212:BF275" si="254">IMPRODUCT(AC212,BC212)</f>
        <v>0,664269659729323+2,07249781437655i</v>
      </c>
      <c r="BG212" s="68">
        <f t="shared" ref="BG212:BG275" si="255">20*LOG(IMABS(BF212))</f>
        <v>6.75457667389224</v>
      </c>
      <c r="BH212" s="31">
        <f t="shared" ref="BH212:BH275" si="256">(180/PI())*IMARGUMENT(BF212)</f>
        <v>72.2284901536378</v>
      </c>
      <c r="BI212" s="30" t="str">
        <f t="shared" si="209"/>
        <v>1,76450583394655+17,9471258780526i</v>
      </c>
      <c r="BJ212" s="68">
        <f t="shared" ref="BJ212:BJ275" si="257">20*LOG(IMABS(BI212))</f>
        <v>25.1216764143188</v>
      </c>
      <c r="BK212" s="31">
        <f t="shared" si="210"/>
        <v>84.3849022471987</v>
      </c>
      <c r="BL212" s="32">
        <f t="shared" ref="BL212:BL275" si="258">IF($B$31=0,BJ212,BG212)</f>
        <v>6.75457667389224</v>
      </c>
      <c r="BM212" s="31">
        <f t="shared" ref="BM212:BM275" si="259">IF($B$31=0,BK212,BH212)</f>
        <v>72.2284901536378</v>
      </c>
      <c r="BO212">
        <f t="shared" ref="BO212:BO275" si="260">SUM((BL213&lt;0)*(BL212&gt;0))*O212</f>
        <v>0</v>
      </c>
      <c r="BP212">
        <f t="shared" ref="BP212:BP275" si="261">IF(BO212&gt;0,BM212,0)</f>
        <v>0</v>
      </c>
    </row>
    <row r="213" spans="14:68">
      <c r="N213" s="7">
        <v>95</v>
      </c>
      <c r="O213" s="18">
        <f t="shared" si="211"/>
        <v>891.250938133747</v>
      </c>
      <c r="P213" s="86" t="str">
        <f t="shared" si="212"/>
        <v>60</v>
      </c>
      <c r="Q213" s="4" t="str">
        <f t="shared" si="213"/>
        <v>1+7,31719587133618i</v>
      </c>
      <c r="R213" s="4">
        <f t="shared" si="224"/>
        <v>7.38521194140691</v>
      </c>
      <c r="S213" s="4">
        <f t="shared" si="225"/>
        <v>1.43497337629409</v>
      </c>
      <c r="T213" s="4" t="str">
        <f t="shared" si="214"/>
        <v>1+0,0878063504560343i</v>
      </c>
      <c r="U213" s="4">
        <f t="shared" si="226"/>
        <v>1.00384757567093</v>
      </c>
      <c r="V213" s="4">
        <f t="shared" si="227"/>
        <v>0.087581727634311</v>
      </c>
      <c r="W213" t="str">
        <f t="shared" si="215"/>
        <v>1-0,122497698738887i</v>
      </c>
      <c r="X213" s="4">
        <f t="shared" si="228"/>
        <v>1.00747490598839</v>
      </c>
      <c r="Y213" s="4">
        <f t="shared" si="229"/>
        <v>-0.121890436192861</v>
      </c>
      <c r="Z213" t="str">
        <f t="shared" si="216"/>
        <v>0,99999351568788+0,0326851002582594i</v>
      </c>
      <c r="AA213" s="4">
        <f t="shared" si="230"/>
        <v>1.00052753445205</v>
      </c>
      <c r="AB213" s="4">
        <f t="shared" si="231"/>
        <v>0.0326736800927348</v>
      </c>
      <c r="AC213" s="67" t="str">
        <f t="shared" si="232"/>
        <v>0,564888306172341-8,19278154362799i</v>
      </c>
      <c r="AD213" s="68">
        <f t="shared" si="233"/>
        <v>18.2892250870793</v>
      </c>
      <c r="AE213" s="31">
        <f t="shared" si="234"/>
        <v>-86.0557263467132</v>
      </c>
      <c r="AF213" s="32" t="str">
        <f t="shared" si="235"/>
        <v>326,048966736478</v>
      </c>
      <c r="AG213" s="32" t="str">
        <f t="shared" si="217"/>
        <v>1+4,70391163157327i</v>
      </c>
      <c r="AH213" s="32">
        <f t="shared" si="236"/>
        <v>4.80903156962504</v>
      </c>
      <c r="AI213" s="32">
        <f t="shared" si="237"/>
        <v>1.36132575417764</v>
      </c>
      <c r="AJ213" s="32" t="str">
        <f t="shared" si="218"/>
        <v>1+0,0878063504560343i</v>
      </c>
      <c r="AK213" s="32">
        <f t="shared" si="238"/>
        <v>1.00384757567093</v>
      </c>
      <c r="AL213" s="32">
        <f t="shared" si="239"/>
        <v>0.087581727634311</v>
      </c>
      <c r="AM213" s="32" t="str">
        <f t="shared" si="219"/>
        <v>1-0,0144911045140117i</v>
      </c>
      <c r="AN213" s="32">
        <f t="shared" si="240"/>
        <v>1.00010499054351</v>
      </c>
      <c r="AO213" s="32">
        <f t="shared" si="241"/>
        <v>-0.0144900903025899</v>
      </c>
      <c r="AP213" s="30" t="str">
        <f t="shared" si="242"/>
        <v>18,9783335568306-65,3680437804257i</v>
      </c>
      <c r="AQ213" s="32">
        <f t="shared" si="243"/>
        <v>36.6587713816706</v>
      </c>
      <c r="AR213" s="31">
        <f t="shared" si="244"/>
        <v>-73.8103779200344</v>
      </c>
      <c r="AS213" t="str">
        <f t="shared" si="220"/>
        <v>-0,000100699300699301</v>
      </c>
      <c r="AT213" t="str">
        <f t="shared" si="221"/>
        <v>0,00125829636144585i</v>
      </c>
      <c r="AU213">
        <f t="shared" si="245"/>
        <v>0.00125829636144585</v>
      </c>
      <c r="AV213">
        <f t="shared" si="246"/>
        <v>1.5707963267949</v>
      </c>
      <c r="AW213" t="str">
        <f t="shared" si="222"/>
        <v>1+0,0644224657618459i</v>
      </c>
      <c r="AX213">
        <f t="shared" si="247"/>
        <v>1.00207297842764</v>
      </c>
      <c r="AY213">
        <f t="shared" si="248"/>
        <v>0.0643335638356387</v>
      </c>
      <c r="AZ213" t="str">
        <f t="shared" si="223"/>
        <v>1+3,07994213972059i</v>
      </c>
      <c r="BA213">
        <f t="shared" si="249"/>
        <v>3.23821611138396</v>
      </c>
      <c r="BB213">
        <f t="shared" si="250"/>
        <v>1.25685259571511</v>
      </c>
      <c r="BC213" s="30" t="str">
        <f t="shared" si="251"/>
        <v>-0,240329441728513+0,0955109009235638i</v>
      </c>
      <c r="BD213" s="32">
        <f t="shared" si="252"/>
        <v>-11.7470001631008</v>
      </c>
      <c r="BE213" s="31">
        <f t="shared" si="253"/>
        <v>158.326307515721</v>
      </c>
      <c r="BF213" s="30" t="str">
        <f t="shared" si="254"/>
        <v>0,646740655040491+2,02291960562749i</v>
      </c>
      <c r="BG213" s="68">
        <f t="shared" si="255"/>
        <v>6.54222492397853</v>
      </c>
      <c r="BH213" s="31">
        <f t="shared" si="256"/>
        <v>72.2705811690077</v>
      </c>
      <c r="BI213" s="30" t="str">
        <f t="shared" si="209"/>
        <v>1,68230844442882+17,5225032046755i</v>
      </c>
      <c r="BJ213" s="68">
        <f t="shared" si="257"/>
        <v>24.9117712185698</v>
      </c>
      <c r="BK213" s="31">
        <f t="shared" si="210"/>
        <v>84.5159295956864</v>
      </c>
      <c r="BL213" s="32">
        <f t="shared" si="258"/>
        <v>6.54222492397853</v>
      </c>
      <c r="BM213" s="31">
        <f t="shared" si="259"/>
        <v>72.2705811690077</v>
      </c>
      <c r="BO213">
        <f t="shared" si="260"/>
        <v>0</v>
      </c>
      <c r="BP213">
        <f t="shared" si="261"/>
        <v>0</v>
      </c>
    </row>
    <row r="214" spans="14:68">
      <c r="N214" s="7">
        <v>96</v>
      </c>
      <c r="O214" s="18">
        <f t="shared" si="211"/>
        <v>912.01083935591</v>
      </c>
      <c r="P214" s="86" t="str">
        <f t="shared" si="212"/>
        <v>60</v>
      </c>
      <c r="Q214" s="4" t="str">
        <f t="shared" si="213"/>
        <v>1+7,48763525828398i</v>
      </c>
      <c r="R214" s="4">
        <f t="shared" si="224"/>
        <v>7.55411687499587</v>
      </c>
      <c r="S214" s="4">
        <f t="shared" si="225"/>
        <v>1.43802846606395</v>
      </c>
      <c r="T214" s="4" t="str">
        <f t="shared" si="214"/>
        <v>1+0,0898516230994079i</v>
      </c>
      <c r="U214" s="4">
        <f t="shared" si="226"/>
        <v>1.00402854250942</v>
      </c>
      <c r="V214" s="4">
        <f t="shared" si="227"/>
        <v>0.0896109875368015</v>
      </c>
      <c r="W214" t="str">
        <f t="shared" si="215"/>
        <v>1-0,125351036690022i</v>
      </c>
      <c r="X214" s="4">
        <f t="shared" si="228"/>
        <v>1.00782581947441</v>
      </c>
      <c r="Y214" s="4">
        <f t="shared" si="229"/>
        <v>-0.124700615726163</v>
      </c>
      <c r="Z214" t="str">
        <f t="shared" si="216"/>
        <v>0,999993210091664+0,0334464340462707i</v>
      </c>
      <c r="AA214" s="4">
        <f t="shared" si="230"/>
        <v>1.00055238952283</v>
      </c>
      <c r="AB214" s="4">
        <f t="shared" si="231"/>
        <v>0.033434197483273</v>
      </c>
      <c r="AC214" s="67" t="str">
        <f t="shared" si="232"/>
        <v>0,515695429297079-8,01608674855538i</v>
      </c>
      <c r="AD214" s="68">
        <f t="shared" si="233"/>
        <v>18.0971851305844</v>
      </c>
      <c r="AE214" s="31">
        <f t="shared" si="234"/>
        <v>-86.3190879322681</v>
      </c>
      <c r="AF214" s="32" t="str">
        <f t="shared" si="235"/>
        <v>326,048966736478</v>
      </c>
      <c r="AG214" s="32" t="str">
        <f t="shared" si="217"/>
        <v>1+4,81347980889685i</v>
      </c>
      <c r="AH214" s="32">
        <f t="shared" si="236"/>
        <v>4.91625750654476</v>
      </c>
      <c r="AI214" s="32">
        <f t="shared" si="237"/>
        <v>1.36596015658598</v>
      </c>
      <c r="AJ214" s="32" t="str">
        <f t="shared" si="218"/>
        <v>1+0,0898516230994079i</v>
      </c>
      <c r="AK214" s="32">
        <f t="shared" si="238"/>
        <v>1.00402854250942</v>
      </c>
      <c r="AL214" s="32">
        <f t="shared" si="239"/>
        <v>0.0896109875368015</v>
      </c>
      <c r="AM214" s="32" t="str">
        <f t="shared" si="219"/>
        <v>1-0,0148286456995961i</v>
      </c>
      <c r="AN214" s="32">
        <f t="shared" si="240"/>
        <v>1.00010993832342</v>
      </c>
      <c r="AO214" s="32">
        <f t="shared" si="241"/>
        <v>-0.01482755895893</v>
      </c>
      <c r="AP214" s="30" t="str">
        <f t="shared" si="242"/>
        <v>18,3795731158885-64,0085398267696i</v>
      </c>
      <c r="AQ214" s="32">
        <f t="shared" si="243"/>
        <v>36.4688401559495</v>
      </c>
      <c r="AR214" s="31">
        <f t="shared" si="244"/>
        <v>-73.9789771203758</v>
      </c>
      <c r="AS214" t="str">
        <f t="shared" si="220"/>
        <v>-0,000100699300699301</v>
      </c>
      <c r="AT214" t="str">
        <f t="shared" si="221"/>
        <v>0,00128760584887991i</v>
      </c>
      <c r="AU214">
        <f t="shared" si="245"/>
        <v>0.00128760584887991</v>
      </c>
      <c r="AV214">
        <f t="shared" si="246"/>
        <v>1.5707963267949</v>
      </c>
      <c r="AW214" t="str">
        <f t="shared" si="222"/>
        <v>1+0,0659230577595437i</v>
      </c>
      <c r="AX214">
        <f t="shared" si="247"/>
        <v>1.0021705690871</v>
      </c>
      <c r="AY214">
        <f t="shared" si="248"/>
        <v>0.0658278087689565</v>
      </c>
      <c r="AZ214" t="str">
        <f t="shared" si="223"/>
        <v>1+3,15168320820627i</v>
      </c>
      <c r="BA214">
        <f t="shared" si="249"/>
        <v>3.3065249197442</v>
      </c>
      <c r="BB214">
        <f t="shared" si="250"/>
        <v>1.26355288356543</v>
      </c>
      <c r="BC214" s="30" t="str">
        <f t="shared" si="251"/>
        <v>-0,240282637786214+0,0940467857171433i</v>
      </c>
      <c r="BD214" s="32">
        <f t="shared" si="252"/>
        <v>-11.7665266122561</v>
      </c>
      <c r="BE214" s="31">
        <f t="shared" si="253"/>
        <v>158.624591802829</v>
      </c>
      <c r="BF214" s="30" t="str">
        <f t="shared" si="254"/>
        <v>0,629974534685624+1,97462596620042i</v>
      </c>
      <c r="BG214" s="68">
        <f t="shared" si="255"/>
        <v>6.3306585183283</v>
      </c>
      <c r="BH214" s="31">
        <f t="shared" si="256"/>
        <v>72.3055038705607</v>
      </c>
      <c r="BI214" s="30" t="str">
        <f t="shared" si="209"/>
        <v>1,60350511948516+17,1086805648227i</v>
      </c>
      <c r="BJ214" s="68">
        <f t="shared" si="257"/>
        <v>24.7023135436934</v>
      </c>
      <c r="BK214" s="31">
        <f t="shared" si="210"/>
        <v>84.645614682453</v>
      </c>
      <c r="BL214" s="32">
        <f t="shared" si="258"/>
        <v>6.3306585183283</v>
      </c>
      <c r="BM214" s="31">
        <f t="shared" si="259"/>
        <v>72.3055038705607</v>
      </c>
      <c r="BO214">
        <f t="shared" si="260"/>
        <v>0</v>
      </c>
      <c r="BP214">
        <f t="shared" si="261"/>
        <v>0</v>
      </c>
    </row>
    <row r="215" spans="14:68">
      <c r="N215" s="7">
        <v>97</v>
      </c>
      <c r="O215" s="18">
        <f t="shared" si="211"/>
        <v>933.254300796991</v>
      </c>
      <c r="P215" s="86" t="str">
        <f t="shared" si="212"/>
        <v>60</v>
      </c>
      <c r="Q215" s="4" t="str">
        <f t="shared" si="213"/>
        <v>1+7,66204468855628i</v>
      </c>
      <c r="R215" s="4">
        <f t="shared" si="224"/>
        <v>7.72702587089195</v>
      </c>
      <c r="S215" s="4">
        <f t="shared" si="225"/>
        <v>1.44101642444206</v>
      </c>
      <c r="T215" s="4" t="str">
        <f t="shared" si="214"/>
        <v>1+0,0919445362626755i</v>
      </c>
      <c r="U215" s="4">
        <f t="shared" si="226"/>
        <v>1.00421800309921</v>
      </c>
      <c r="V215" s="4">
        <f t="shared" si="227"/>
        <v>0.0916867490687297</v>
      </c>
      <c r="W215" t="str">
        <f t="shared" si="215"/>
        <v>1-0,128270837420027i</v>
      </c>
      <c r="X215" s="4">
        <f t="shared" si="228"/>
        <v>1.00819314009392</v>
      </c>
      <c r="Y215" s="4">
        <f t="shared" si="229"/>
        <v>-0.1275742043261</v>
      </c>
      <c r="Z215" t="str">
        <f t="shared" si="216"/>
        <v>0,999992890093143+0,0342255015763292i</v>
      </c>
      <c r="AA215" s="4">
        <f t="shared" si="230"/>
        <v>1.00057841531536</v>
      </c>
      <c r="AB215" s="4">
        <f t="shared" si="231"/>
        <v>0.0342123902721646</v>
      </c>
      <c r="AC215" s="67" t="str">
        <f t="shared" si="232"/>
        <v>0,468630863536552-7,84306149625596i</v>
      </c>
      <c r="AD215" s="68">
        <f t="shared" si="233"/>
        <v>17.905189902652</v>
      </c>
      <c r="AE215" s="31">
        <f t="shared" si="234"/>
        <v>-86.5805846229237</v>
      </c>
      <c r="AF215" s="32" t="str">
        <f t="shared" si="235"/>
        <v>326,048966736478</v>
      </c>
      <c r="AG215" s="32" t="str">
        <f t="shared" si="217"/>
        <v>1+4,92560015692904i</v>
      </c>
      <c r="AH215" s="32">
        <f t="shared" si="236"/>
        <v>5.02608564450899</v>
      </c>
      <c r="AI215" s="32">
        <f t="shared" si="237"/>
        <v>1.37049770655072</v>
      </c>
      <c r="AJ215" s="32" t="str">
        <f t="shared" si="218"/>
        <v>1+0,0919445362626755i</v>
      </c>
      <c r="AK215" s="32">
        <f t="shared" si="238"/>
        <v>1.00421800309921</v>
      </c>
      <c r="AL215" s="32">
        <f t="shared" si="239"/>
        <v>0.0916867490687297</v>
      </c>
      <c r="AM215" s="32" t="str">
        <f t="shared" si="219"/>
        <v>1-0,0151740492294108i</v>
      </c>
      <c r="AN215" s="32">
        <f t="shared" si="240"/>
        <v>1.00011511925879</v>
      </c>
      <c r="AO215" s="32">
        <f t="shared" si="241"/>
        <v>-0.0151728847730463</v>
      </c>
      <c r="AP215" s="30" t="str">
        <f t="shared" si="242"/>
        <v>17,8055774854948-62,6722172837131i</v>
      </c>
      <c r="AQ215" s="32">
        <f t="shared" si="243"/>
        <v>36.2786187848895</v>
      </c>
      <c r="AR215" s="31">
        <f t="shared" si="244"/>
        <v>-74.1398129193358</v>
      </c>
      <c r="AS215" t="str">
        <f t="shared" si="220"/>
        <v>-0,000100699300699301</v>
      </c>
      <c r="AT215" t="str">
        <f t="shared" si="221"/>
        <v>0,00131759804197852i</v>
      </c>
      <c r="AU215">
        <f t="shared" si="245"/>
        <v>0.00131759804197852</v>
      </c>
      <c r="AV215">
        <f t="shared" si="246"/>
        <v>1.5707963267949</v>
      </c>
      <c r="AW215" t="str">
        <f t="shared" si="222"/>
        <v>1+0,0674586030350604i</v>
      </c>
      <c r="AX215">
        <f t="shared" si="247"/>
        <v>1.00227274886801</v>
      </c>
      <c r="AY215">
        <f t="shared" si="248"/>
        <v>0.0673565543981371</v>
      </c>
      <c r="AZ215" t="str">
        <f t="shared" si="223"/>
        <v>1+3,22509534084639i</v>
      </c>
      <c r="BA215">
        <f t="shared" si="249"/>
        <v>3.37657222009971</v>
      </c>
      <c r="BB215">
        <f t="shared" si="250"/>
        <v>1.27012829794289</v>
      </c>
      <c r="BC215" s="30" t="str">
        <f t="shared" si="251"/>
        <v>-0,240233647577116+0,0926322457756689i</v>
      </c>
      <c r="BD215" s="32">
        <f t="shared" si="252"/>
        <v>-11.7853273077291</v>
      </c>
      <c r="BE215" s="31">
        <f t="shared" si="253"/>
        <v>158.913744622705</v>
      </c>
      <c r="BF215" s="30" t="str">
        <f t="shared" si="254"/>
        <v>0,613939498440268+1,92757760074638i</v>
      </c>
      <c r="BG215" s="68">
        <f t="shared" si="255"/>
        <v>6.11986259492286</v>
      </c>
      <c r="BH215" s="31">
        <f t="shared" si="256"/>
        <v>72.3331599997818</v>
      </c>
      <c r="BI215" s="30" t="str">
        <f t="shared" si="209"/>
        <v>1,52796940817365+16,705345989626i</v>
      </c>
      <c r="BJ215" s="68">
        <f t="shared" si="257"/>
        <v>24.4932914771603</v>
      </c>
      <c r="BK215" s="31">
        <f t="shared" si="210"/>
        <v>84.7739317033697</v>
      </c>
      <c r="BL215" s="32">
        <f t="shared" si="258"/>
        <v>6.11986259492286</v>
      </c>
      <c r="BM215" s="31">
        <f t="shared" si="259"/>
        <v>72.3331599997818</v>
      </c>
      <c r="BO215">
        <f t="shared" si="260"/>
        <v>0</v>
      </c>
      <c r="BP215">
        <f t="shared" si="261"/>
        <v>0</v>
      </c>
    </row>
    <row r="216" spans="14:68">
      <c r="N216" s="7">
        <v>98</v>
      </c>
      <c r="O216" s="18">
        <f t="shared" si="211"/>
        <v>954.992586021437</v>
      </c>
      <c r="P216" s="86" t="str">
        <f t="shared" si="212"/>
        <v>60</v>
      </c>
      <c r="Q216" s="4" t="str">
        <f t="shared" si="213"/>
        <v>1+7,84051663634163i</v>
      </c>
      <c r="R216" s="4">
        <f t="shared" si="224"/>
        <v>7.9040306885</v>
      </c>
      <c r="S216" s="4">
        <f t="shared" si="225"/>
        <v>1.44393862216099</v>
      </c>
      <c r="T216" s="4" t="str">
        <f t="shared" si="214"/>
        <v>1+0,0940861996360996i</v>
      </c>
      <c r="U216" s="4">
        <f t="shared" si="226"/>
        <v>1.00441635438794</v>
      </c>
      <c r="V216" s="4">
        <f t="shared" si="227"/>
        <v>0.0938100412346756</v>
      </c>
      <c r="W216" t="str">
        <f t="shared" si="215"/>
        <v>1-0,131258649045898i</v>
      </c>
      <c r="X216" s="4">
        <f t="shared" si="228"/>
        <v>1.00857762861832</v>
      </c>
      <c r="Y216" s="4">
        <f t="shared" si="229"/>
        <v>-0.130512535676645</v>
      </c>
      <c r="Z216" t="str">
        <f t="shared" si="216"/>
        <v>0,999992555013556+0,0350227159203516i</v>
      </c>
      <c r="AA216" s="4">
        <f t="shared" si="230"/>
        <v>1.00060566694027</v>
      </c>
      <c r="AB216" s="4">
        <f t="shared" si="231"/>
        <v>0.035008667364049</v>
      </c>
      <c r="AC216" s="67" t="str">
        <f t="shared" si="232"/>
        <v>0,423604850786481-7,67365147383182i</v>
      </c>
      <c r="AD216" s="68">
        <f t="shared" si="233"/>
        <v>17.713255613748</v>
      </c>
      <c r="AE216" s="31">
        <f t="shared" si="234"/>
        <v>-86.8403358412248</v>
      </c>
      <c r="AF216" s="32" t="str">
        <f t="shared" si="235"/>
        <v>326,048966736478</v>
      </c>
      <c r="AG216" s="32" t="str">
        <f t="shared" si="217"/>
        <v>1+5,04033212336248i</v>
      </c>
      <c r="AH216" s="32">
        <f t="shared" si="236"/>
        <v>5.13857450211629</v>
      </c>
      <c r="AI216" s="32">
        <f t="shared" si="237"/>
        <v>1.37494006218655</v>
      </c>
      <c r="AJ216" s="32" t="str">
        <f t="shared" si="218"/>
        <v>1+0,0940861996360996i</v>
      </c>
      <c r="AK216" s="32">
        <f t="shared" si="238"/>
        <v>1.00441635438794</v>
      </c>
      <c r="AL216" s="32">
        <f t="shared" si="239"/>
        <v>0.0938100412346756</v>
      </c>
      <c r="AM216" s="32" t="str">
        <f t="shared" si="219"/>
        <v>1-0,0155274982409793i</v>
      </c>
      <c r="AN216" s="32">
        <f t="shared" si="240"/>
        <v>1.00012054433534</v>
      </c>
      <c r="AO216" s="32">
        <f t="shared" si="241"/>
        <v>-0.0155262505116269</v>
      </c>
      <c r="AP216" s="30" t="str">
        <f t="shared" si="242"/>
        <v>17,2554130455151-61,359029257159i</v>
      </c>
      <c r="AQ216" s="32">
        <f t="shared" si="243"/>
        <v>36.088125895027</v>
      </c>
      <c r="AR216" s="31">
        <f t="shared" si="244"/>
        <v>-74.2929318340282</v>
      </c>
      <c r="AS216" t="str">
        <f t="shared" si="220"/>
        <v>-0,000100699300699301</v>
      </c>
      <c r="AT216" t="str">
        <f t="shared" si="221"/>
        <v>0,00134828884299946i</v>
      </c>
      <c r="AU216">
        <f t="shared" si="245"/>
        <v>0.00134828884299946</v>
      </c>
      <c r="AV216">
        <f t="shared" si="246"/>
        <v>1.5707963267949</v>
      </c>
      <c r="AW216" t="str">
        <f t="shared" si="222"/>
        <v>1+0,0690299157548266i</v>
      </c>
      <c r="AX216">
        <f t="shared" si="247"/>
        <v>1.00237973306982</v>
      </c>
      <c r="AY216">
        <f t="shared" si="248"/>
        <v>0.0689205826860611</v>
      </c>
      <c r="AZ216" t="str">
        <f t="shared" si="223"/>
        <v>1+3,30021746172543i</v>
      </c>
      <c r="BA216">
        <f t="shared" si="249"/>
        <v>3.44839604666828</v>
      </c>
      <c r="BB216">
        <f t="shared" si="250"/>
        <v>1.27658005004378</v>
      </c>
      <c r="BC216" s="30" t="str">
        <f t="shared" si="251"/>
        <v>-0,240182369937243+0,0912665105702608i</v>
      </c>
      <c r="BD216" s="32">
        <f t="shared" si="252"/>
        <v>-11.8034324953509</v>
      </c>
      <c r="BE216" s="31">
        <f t="shared" si="253"/>
        <v>159.193790568614</v>
      </c>
      <c r="BF216" s="30" t="str">
        <f t="shared" si="254"/>
        <v>0,59860497637016+1,88173673364926i</v>
      </c>
      <c r="BG216" s="68">
        <f t="shared" si="255"/>
        <v>5.90982311839706</v>
      </c>
      <c r="BH216" s="31">
        <f t="shared" si="256"/>
        <v>72.3534547273895</v>
      </c>
      <c r="BI216" s="30" t="str">
        <f t="shared" si="209"/>
        <v>1,45557849276161+16,3121984011458i</v>
      </c>
      <c r="BJ216" s="68">
        <f t="shared" si="257"/>
        <v>24.2846933996761</v>
      </c>
      <c r="BK216" s="31">
        <f t="shared" si="210"/>
        <v>84.9008587345862</v>
      </c>
      <c r="BL216" s="32">
        <f t="shared" si="258"/>
        <v>5.90982311839706</v>
      </c>
      <c r="BM216" s="31">
        <f t="shared" si="259"/>
        <v>72.3534547273895</v>
      </c>
      <c r="BO216">
        <f t="shared" si="260"/>
        <v>0</v>
      </c>
      <c r="BP216">
        <f t="shared" si="261"/>
        <v>0</v>
      </c>
    </row>
    <row r="217" spans="14:68">
      <c r="N217" s="7">
        <v>99</v>
      </c>
      <c r="O217" s="18">
        <f t="shared" si="211"/>
        <v>977.237220955811</v>
      </c>
      <c r="P217" s="86" t="str">
        <f t="shared" si="212"/>
        <v>60</v>
      </c>
      <c r="Q217" s="4" t="str">
        <f t="shared" si="213"/>
        <v>1+8,02314572982905i</v>
      </c>
      <c r="R217" s="4">
        <f t="shared" si="224"/>
        <v>8.08522525363852</v>
      </c>
      <c r="S217" s="4">
        <f t="shared" si="225"/>
        <v>1.44679640887575</v>
      </c>
      <c r="T217" s="4" t="str">
        <f t="shared" si="214"/>
        <v>1+0,0962777487579487i</v>
      </c>
      <c r="U217" s="4">
        <f t="shared" si="226"/>
        <v>1.0046240117108</v>
      </c>
      <c r="V217" s="4">
        <f t="shared" si="227"/>
        <v>0.0959819132092949</v>
      </c>
      <c r="W217" t="str">
        <f t="shared" si="215"/>
        <v>1-0,134316055744906i</v>
      </c>
      <c r="X217" s="4">
        <f t="shared" si="228"/>
        <v>1.00898008049261</v>
      </c>
      <c r="Y217" s="4">
        <f t="shared" si="229"/>
        <v>-0.133516964660633</v>
      </c>
      <c r="Z217" t="str">
        <f t="shared" si="216"/>
        <v>0,999992204142155+0,0358384997719353i</v>
      </c>
      <c r="AA217" s="4">
        <f t="shared" si="230"/>
        <v>1.00063420209934</v>
      </c>
      <c r="AB217" s="4">
        <f t="shared" si="231"/>
        <v>0.035823446987866</v>
      </c>
      <c r="AC217" s="67" t="str">
        <f t="shared" si="232"/>
        <v>0,380531099465377-7,50780191990322i</v>
      </c>
      <c r="AD217" s="68">
        <f t="shared" si="233"/>
        <v>17.521398597708</v>
      </c>
      <c r="AE217" s="31">
        <f t="shared" si="234"/>
        <v>-87.0984603952475</v>
      </c>
      <c r="AF217" s="32" t="str">
        <f t="shared" si="235"/>
        <v>326,048966736478</v>
      </c>
      <c r="AG217" s="32" t="str">
        <f t="shared" si="217"/>
        <v>1+5,15773654060439i</v>
      </c>
      <c r="AH217" s="32">
        <f t="shared" si="236"/>
        <v>5.25378399082849</v>
      </c>
      <c r="AI217" s="32">
        <f t="shared" si="237"/>
        <v>1.37928887721339</v>
      </c>
      <c r="AJ217" s="32" t="str">
        <f t="shared" si="218"/>
        <v>1+0,0962777487579487i</v>
      </c>
      <c r="AK217" s="32">
        <f t="shared" si="238"/>
        <v>1.0046240117108</v>
      </c>
      <c r="AL217" s="32">
        <f t="shared" si="239"/>
        <v>0.0959819132092949</v>
      </c>
      <c r="AM217" s="32" t="str">
        <f t="shared" si="219"/>
        <v>1-0,0158891801376459i</v>
      </c>
      <c r="AN217" s="32">
        <f t="shared" si="240"/>
        <v>1.00012622505634</v>
      </c>
      <c r="AO217" s="32">
        <f t="shared" si="241"/>
        <v>-0.0158878431806702</v>
      </c>
      <c r="AP217" s="30" t="str">
        <f t="shared" si="242"/>
        <v>16,7281736420356-60,068902715028i</v>
      </c>
      <c r="AQ217" s="32">
        <f t="shared" si="243"/>
        <v>35.8973796984789</v>
      </c>
      <c r="AR217" s="31">
        <f t="shared" si="244"/>
        <v>-74.4383792169997</v>
      </c>
      <c r="AS217" t="str">
        <f t="shared" si="220"/>
        <v>-0,000100699300699301</v>
      </c>
      <c r="AT217" t="str">
        <f t="shared" si="221"/>
        <v>0,00137969452461168i</v>
      </c>
      <c r="AU217">
        <f t="shared" si="245"/>
        <v>0.00137969452461168</v>
      </c>
      <c r="AV217">
        <f t="shared" si="246"/>
        <v>1.5707963267949</v>
      </c>
      <c r="AW217" t="str">
        <f t="shared" si="222"/>
        <v>1+0,0706378290496448i</v>
      </c>
      <c r="AX217">
        <f t="shared" si="247"/>
        <v>1.00249174704476</v>
      </c>
      <c r="AY217">
        <f t="shared" si="248"/>
        <v>0.0705206922768056</v>
      </c>
      <c r="AZ217" t="str">
        <f t="shared" si="223"/>
        <v>1+3,3770894015862i</v>
      </c>
      <c r="BA217">
        <f t="shared" si="249"/>
        <v>3.52203532439779</v>
      </c>
      <c r="BB217">
        <f t="shared" si="250"/>
        <v>1.28290941144677</v>
      </c>
      <c r="BC217" s="30" t="str">
        <f t="shared" si="251"/>
        <v>-0,240128699113532+0,0899488340042942i</v>
      </c>
      <c r="BD217" s="32">
        <f t="shared" si="252"/>
        <v>-11.820871694448</v>
      </c>
      <c r="BE217" s="31">
        <f t="shared" si="253"/>
        <v>159.464756737711</v>
      </c>
      <c r="BF217" s="30" t="str">
        <f t="shared" si="254"/>
        <v>0,583941590743633+1,83706703692772i</v>
      </c>
      <c r="BG217" s="68">
        <f t="shared" si="255"/>
        <v>5.70052690325995</v>
      </c>
      <c r="BH217" s="31">
        <f t="shared" si="256"/>
        <v>72.3662963424631</v>
      </c>
      <c r="BI217" s="30" t="str">
        <f t="shared" si="209"/>
        <v>1,38621318392687+15,9289471802595i</v>
      </c>
      <c r="BJ217" s="68">
        <f t="shared" si="257"/>
        <v>24.076508004031</v>
      </c>
      <c r="BK217" s="31">
        <f t="shared" si="210"/>
        <v>85.0263775207109</v>
      </c>
      <c r="BL217" s="32">
        <f t="shared" si="258"/>
        <v>5.70052690325995</v>
      </c>
      <c r="BM217" s="31">
        <f t="shared" si="259"/>
        <v>72.3662963424631</v>
      </c>
      <c r="BO217">
        <f t="shared" si="260"/>
        <v>0</v>
      </c>
      <c r="BP217">
        <f t="shared" si="261"/>
        <v>0</v>
      </c>
    </row>
    <row r="218" spans="14:68">
      <c r="N218" s="7">
        <v>100</v>
      </c>
      <c r="O218" s="18">
        <f t="shared" si="211"/>
        <v>1000</v>
      </c>
      <c r="P218" s="86" t="str">
        <f t="shared" si="212"/>
        <v>60</v>
      </c>
      <c r="Q218" s="4" t="str">
        <f t="shared" si="213"/>
        <v>1+8,21002880138133i</v>
      </c>
      <c r="R218" s="4">
        <f t="shared" si="224"/>
        <v>8.27070570867511</v>
      </c>
      <c r="S218" s="4">
        <f t="shared" si="225"/>
        <v>1.44959111300793</v>
      </c>
      <c r="T218" s="4" t="str">
        <f t="shared" si="214"/>
        <v>1+0,098520345616576i</v>
      </c>
      <c r="U218" s="4">
        <f t="shared" si="226"/>
        <v>1.00484140962662</v>
      </c>
      <c r="V218" s="4">
        <f t="shared" si="227"/>
        <v>0.0982034345444615</v>
      </c>
      <c r="W218" t="str">
        <f t="shared" si="215"/>
        <v>1-0,137444678594554i</v>
      </c>
      <c r="X218" s="4">
        <f t="shared" si="228"/>
        <v>1.00940132735893</v>
      </c>
      <c r="Y218" s="4">
        <f t="shared" si="229"/>
        <v>-0.136588867193164</v>
      </c>
      <c r="Z218" t="str">
        <f t="shared" si="216"/>
        <v>0,999991836734694+0,0366732856704769i</v>
      </c>
      <c r="AA218" s="4">
        <f t="shared" si="230"/>
        <v>1.00066408120702</v>
      </c>
      <c r="AB218" s="4">
        <f t="shared" si="231"/>
        <v>0.0366571568997867</v>
      </c>
      <c r="AC218" s="67" t="str">
        <f t="shared" si="232"/>
        <v>0,339326673386793-7,34545773892141i</v>
      </c>
      <c r="AD218" s="68">
        <f t="shared" si="233"/>
        <v>17.3296353401446</v>
      </c>
      <c r="AE218" s="31">
        <f t="shared" si="234"/>
        <v>-87.3550764598868</v>
      </c>
      <c r="AF218" s="32" t="str">
        <f t="shared" si="235"/>
        <v>326,048966736478</v>
      </c>
      <c r="AG218" s="32" t="str">
        <f t="shared" si="217"/>
        <v>1+5,27787565803086i</v>
      </c>
      <c r="AH218" s="32">
        <f t="shared" si="236"/>
        <v>5.37177544780445</v>
      </c>
      <c r="AI218" s="32">
        <f t="shared" si="237"/>
        <v>1.38354579914979</v>
      </c>
      <c r="AJ218" s="32" t="str">
        <f t="shared" si="218"/>
        <v>1+0,098520345616576i</v>
      </c>
      <c r="AK218" s="32">
        <f t="shared" si="238"/>
        <v>1.00484140962662</v>
      </c>
      <c r="AL218" s="32">
        <f t="shared" si="239"/>
        <v>0.0982034345444615</v>
      </c>
      <c r="AM218" s="32" t="str">
        <f t="shared" si="219"/>
        <v>1-0,0162592866879396i</v>
      </c>
      <c r="AN218" s="32">
        <f t="shared" si="240"/>
        <v>1.00013217346689</v>
      </c>
      <c r="AO218" s="32">
        <f t="shared" si="241"/>
        <v>-0.0162578541229548</v>
      </c>
      <c r="AP218" s="30" t="str">
        <f t="shared" si="242"/>
        <v>16,2229804663397-58,8017404376738i</v>
      </c>
      <c r="AQ218" s="32">
        <f t="shared" si="243"/>
        <v>35.7063980169873</v>
      </c>
      <c r="AR218" s="31">
        <f t="shared" si="244"/>
        <v>-74.5761991464355</v>
      </c>
      <c r="AS218" t="str">
        <f t="shared" si="220"/>
        <v>-0,000100699300699301</v>
      </c>
      <c r="AT218" t="str">
        <f t="shared" si="221"/>
        <v>0,00141183173852325i</v>
      </c>
      <c r="AU218">
        <f t="shared" si="245"/>
        <v>0.00141183173852325</v>
      </c>
      <c r="AV218">
        <f t="shared" si="246"/>
        <v>1.5707963267949</v>
      </c>
      <c r="AW218" t="str">
        <f t="shared" si="222"/>
        <v>1+0,0722831954564274i</v>
      </c>
      <c r="AX218">
        <f t="shared" si="247"/>
        <v>1.00260902666263</v>
      </c>
      <c r="AY218">
        <f t="shared" si="248"/>
        <v>0.0721576987765131</v>
      </c>
      <c r="AZ218" t="str">
        <f t="shared" si="223"/>
        <v>1+3,45575191894877i</v>
      </c>
      <c r="BA218">
        <f t="shared" si="249"/>
        <v>3.59752989220633</v>
      </c>
      <c r="BB218">
        <f t="shared" si="250"/>
        <v>1.28911770882925</v>
      </c>
      <c r="BC218" s="30" t="str">
        <f t="shared" si="251"/>
        <v>-0,240072524564542+0,088678493917266i</v>
      </c>
      <c r="BD218" s="32">
        <f t="shared" si="252"/>
        <v>-11.8376737050743</v>
      </c>
      <c r="BE218" s="31">
        <f t="shared" si="253"/>
        <v>159.72667241222</v>
      </c>
      <c r="BF218" s="30" t="str">
        <f t="shared" si="254"/>
        <v>0,569921118288422+1,79353356180691i</v>
      </c>
      <c r="BG218" s="68">
        <f t="shared" si="255"/>
        <v>5.49196163507033</v>
      </c>
      <c r="BH218" s="31">
        <f t="shared" si="256"/>
        <v>72.3715959523331</v>
      </c>
      <c r="BI218" s="30" t="str">
        <f t="shared" si="209"/>
        <v>1,31975790521149+15,5553117502655i</v>
      </c>
      <c r="BJ218" s="68">
        <f t="shared" si="257"/>
        <v>23.868724311913</v>
      </c>
      <c r="BK218" s="31">
        <f t="shared" si="210"/>
        <v>85.1504732657844</v>
      </c>
      <c r="BL218" s="32">
        <f t="shared" si="258"/>
        <v>5.49196163507033</v>
      </c>
      <c r="BM218" s="31">
        <f t="shared" si="259"/>
        <v>72.3715959523331</v>
      </c>
      <c r="BO218">
        <f t="shared" si="260"/>
        <v>0</v>
      </c>
      <c r="BP218">
        <f t="shared" si="261"/>
        <v>0</v>
      </c>
    </row>
    <row r="219" spans="14:68">
      <c r="N219" s="7">
        <v>1</v>
      </c>
      <c r="O219" s="18">
        <f>10^(3+(N219/100))</f>
        <v>1023.29299228075</v>
      </c>
      <c r="P219" s="86" t="str">
        <f t="shared" si="212"/>
        <v>60</v>
      </c>
      <c r="Q219" s="4" t="str">
        <f t="shared" si="213"/>
        <v>1+8,40126493887663i</v>
      </c>
      <c r="R219" s="4">
        <f t="shared" si="224"/>
        <v>8.46057046381612</v>
      </c>
      <c r="S219" s="4">
        <f t="shared" si="225"/>
        <v>1.45232404163175</v>
      </c>
      <c r="T219" s="4" t="str">
        <f t="shared" si="214"/>
        <v>1+0,10081517926652i</v>
      </c>
      <c r="U219" s="4">
        <f t="shared" si="226"/>
        <v>1.00506900279062</v>
      </c>
      <c r="V219" s="4">
        <f t="shared" si="227"/>
        <v>0.100475695363516</v>
      </c>
      <c r="W219" t="str">
        <f t="shared" si="215"/>
        <v>1-0,140646176432087i</v>
      </c>
      <c r="X219" s="4">
        <f t="shared" si="228"/>
        <v>1.00984223864174</v>
      </c>
      <c r="Y219" s="4">
        <f t="shared" si="229"/>
        <v>-0.139729640009184</v>
      </c>
      <c r="Z219" t="str">
        <f t="shared" si="216"/>
        <v>0,999991452011853+0,037527516230509i</v>
      </c>
      <c r="AA219" s="4">
        <f t="shared" si="230"/>
        <v>1.00069536751761</v>
      </c>
      <c r="AB219" s="4">
        <f t="shared" si="231"/>
        <v>0.0375102345898571</v>
      </c>
      <c r="AC219" s="67" t="str">
        <f t="shared" si="232"/>
        <v>0,299911881870236-7,18656360719925i</v>
      </c>
      <c r="AD219" s="68">
        <f t="shared" si="233"/>
        <v>17.1379825070818</v>
      </c>
      <c r="AE219" s="31">
        <f t="shared" si="234"/>
        <v>-87.6103015588628</v>
      </c>
      <c r="AF219" s="32" t="str">
        <f t="shared" si="235"/>
        <v>326,048966736478</v>
      </c>
      <c r="AG219" s="32" t="str">
        <f t="shared" si="217"/>
        <v>1+5,40081317499212i</v>
      </c>
      <c r="AH219" s="32">
        <f t="shared" si="236"/>
        <v>5.4926116694309</v>
      </c>
      <c r="AI219" s="32">
        <f t="shared" si="237"/>
        <v>1.38771246764299</v>
      </c>
      <c r="AJ219" s="32" t="str">
        <f t="shared" si="218"/>
        <v>1+0,10081517926652i</v>
      </c>
      <c r="AK219" s="32">
        <f t="shared" si="238"/>
        <v>1.00506900279062</v>
      </c>
      <c r="AL219" s="32">
        <f t="shared" si="239"/>
        <v>0.100475695363516</v>
      </c>
      <c r="AM219" s="32" t="str">
        <f t="shared" si="219"/>
        <v>1-0,0166380141272522i</v>
      </c>
      <c r="AN219" s="32">
        <f t="shared" si="240"/>
        <v>1.00013840217947</v>
      </c>
      <c r="AO219" s="32">
        <f t="shared" si="241"/>
        <v>-0.0166364791176874</v>
      </c>
      <c r="AP219" s="30" t="str">
        <f t="shared" si="242"/>
        <v>15,7389818607287-57,5574228779215i</v>
      </c>
      <c r="AQ219" s="32">
        <f t="shared" si="243"/>
        <v>35.515198306146</v>
      </c>
      <c r="AR219" s="31">
        <f t="shared" si="244"/>
        <v>-74.7064343250574</v>
      </c>
      <c r="AS219" t="str">
        <f t="shared" si="220"/>
        <v>-0,000100699300699301</v>
      </c>
      <c r="AT219" t="str">
        <f t="shared" si="221"/>
        <v>0,00144471752431039i</v>
      </c>
      <c r="AU219">
        <f t="shared" si="245"/>
        <v>0.00144471752431039</v>
      </c>
      <c r="AV219">
        <f t="shared" si="246"/>
        <v>1.5707963267949</v>
      </c>
      <c r="AW219" t="str">
        <f t="shared" si="222"/>
        <v>1+0,0739668873702219i</v>
      </c>
      <c r="AX219">
        <f t="shared" si="247"/>
        <v>1.00273181879665</v>
      </c>
      <c r="AY219">
        <f t="shared" si="248"/>
        <v>0.0738324350333333</v>
      </c>
      <c r="AZ219" t="str">
        <f t="shared" si="223"/>
        <v>1+3,53624672172103i</v>
      </c>
      <c r="BA219">
        <f t="shared" si="249"/>
        <v>3.67492052660772</v>
      </c>
      <c r="BB219">
        <f t="shared" si="250"/>
        <v>1.29520631889299</v>
      </c>
      <c r="BC219" s="30" t="str">
        <f t="shared" si="251"/>
        <v>-0,24001373075329+0,0874547915944845i</v>
      </c>
      <c r="BD219" s="32">
        <f t="shared" si="252"/>
        <v>-11.8538666173263</v>
      </c>
      <c r="BE219" s="31">
        <f t="shared" si="253"/>
        <v>159.97956875266</v>
      </c>
      <c r="BF219" s="30" t="str">
        <f t="shared" si="254"/>
        <v>0,556516452883202+1,75110267378538i</v>
      </c>
      <c r="BG219" s="68">
        <f t="shared" si="255"/>
        <v>5.28411588975547</v>
      </c>
      <c r="BH219" s="31">
        <f t="shared" si="256"/>
        <v>72.3692671937969</v>
      </c>
      <c r="BI219" s="30" t="str">
        <f t="shared" si="209"/>
        <v>1,25610066785239+15,1910211760141i</v>
      </c>
      <c r="BJ219" s="68">
        <f t="shared" si="257"/>
        <v>23.6613316888197</v>
      </c>
      <c r="BK219" s="31">
        <f t="shared" si="210"/>
        <v>85.2731344276023</v>
      </c>
      <c r="BL219" s="32">
        <f t="shared" si="258"/>
        <v>5.28411588975547</v>
      </c>
      <c r="BM219" s="31">
        <f t="shared" si="259"/>
        <v>72.3692671937969</v>
      </c>
      <c r="BO219">
        <f t="shared" si="260"/>
        <v>0</v>
      </c>
      <c r="BP219">
        <f t="shared" si="261"/>
        <v>0</v>
      </c>
    </row>
    <row r="220" spans="14:68">
      <c r="N220" s="7">
        <v>2</v>
      </c>
      <c r="O220" s="18">
        <f t="shared" ref="O220:O283" si="262">10^(3+(N220/100))</f>
        <v>1047.1285480509</v>
      </c>
      <c r="P220" s="86" t="str">
        <f t="shared" si="212"/>
        <v>60</v>
      </c>
      <c r="Q220" s="4" t="str">
        <f t="shared" si="213"/>
        <v>1+8,5969555382465i</v>
      </c>
      <c r="R220" s="4">
        <f t="shared" si="224"/>
        <v>8.65492024957984</v>
      </c>
      <c r="S220" s="4">
        <f t="shared" si="225"/>
        <v>1.4549964803987</v>
      </c>
      <c r="T220" s="4" t="str">
        <f t="shared" si="214"/>
        <v>1+0,103163466458958i</v>
      </c>
      <c r="U220" s="4">
        <f t="shared" si="226"/>
        <v>1.00530726686513</v>
      </c>
      <c r="V220" s="4">
        <f t="shared" si="227"/>
        <v>0.102799806541191</v>
      </c>
      <c r="W220" t="str">
        <f t="shared" si="215"/>
        <v>1-0,143922246734037i</v>
      </c>
      <c r="X220" s="4">
        <f t="shared" si="228"/>
        <v>1.01030372319663</v>
      </c>
      <c r="Y220" s="4">
        <f t="shared" si="229"/>
        <v>-0.142940700401786</v>
      </c>
      <c r="Z220" t="str">
        <f t="shared" si="216"/>
        <v>0,999991049157583+0,0384016443763823i</v>
      </c>
      <c r="AA220" s="4">
        <f t="shared" si="230"/>
        <v>1.00072812725839</v>
      </c>
      <c r="AB220" s="4">
        <f t="shared" si="231"/>
        <v>0.0383831274923739</v>
      </c>
      <c r="AC220" s="67" t="str">
        <f t="shared" si="232"/>
        <v>0,262210171319901-7,03106407110457i</v>
      </c>
      <c r="AD220" s="68">
        <f t="shared" si="233"/>
        <v>16.9464569738265</v>
      </c>
      <c r="AE220" s="31">
        <f t="shared" si="234"/>
        <v>-87.864252547155</v>
      </c>
      <c r="AF220" s="32" t="str">
        <f t="shared" si="235"/>
        <v>326,048966736478</v>
      </c>
      <c r="AG220" s="32" t="str">
        <f t="shared" si="217"/>
        <v>1+5,52661427458704i</v>
      </c>
      <c r="AH220" s="32">
        <f t="shared" si="236"/>
        <v>5.6163569455715</v>
      </c>
      <c r="AI220" s="32">
        <f t="shared" si="237"/>
        <v>1.39179051292911</v>
      </c>
      <c r="AJ220" s="32" t="str">
        <f t="shared" si="218"/>
        <v>1+0,103163466458958i</v>
      </c>
      <c r="AK220" s="32">
        <f t="shared" si="238"/>
        <v>1.00530726686513</v>
      </c>
      <c r="AL220" s="32">
        <f t="shared" si="239"/>
        <v>0.102799806541191</v>
      </c>
      <c r="AM220" s="32" t="str">
        <f t="shared" si="219"/>
        <v>1-0,0170255632618855i</v>
      </c>
      <c r="AN220" s="32">
        <f t="shared" si="240"/>
        <v>1.00014492440065</v>
      </c>
      <c r="AO220" s="32">
        <f t="shared" si="241"/>
        <v>-0.0170239184823751</v>
      </c>
      <c r="AP220" s="30" t="str">
        <f t="shared" si="242"/>
        <v>15,2753530591614-56,3358099318661i</v>
      </c>
      <c r="AQ220" s="32">
        <f t="shared" si="243"/>
        <v>35.3237976797729</v>
      </c>
      <c r="AR220" s="31">
        <f t="shared" si="244"/>
        <v>-74.8291259874295</v>
      </c>
      <c r="AS220" t="str">
        <f t="shared" si="220"/>
        <v>-0,000100699300699301</v>
      </c>
      <c r="AT220" t="str">
        <f t="shared" si="221"/>
        <v>0,00147836931845203i</v>
      </c>
      <c r="AU220">
        <f t="shared" si="245"/>
        <v>0.00147836931845203</v>
      </c>
      <c r="AV220">
        <f t="shared" si="246"/>
        <v>1.5707963267949</v>
      </c>
      <c r="AW220" t="str">
        <f t="shared" si="222"/>
        <v>1+0,0756897975067683i</v>
      </c>
      <c r="AX220">
        <f t="shared" si="247"/>
        <v>1.0028603818312</v>
      </c>
      <c r="AY220">
        <f t="shared" si="248"/>
        <v>0.0755457514159188</v>
      </c>
      <c r="AZ220" t="str">
        <f t="shared" si="223"/>
        <v>1+3,61861648931294i</v>
      </c>
      <c r="BA220">
        <f t="shared" si="249"/>
        <v>3.75424896573569</v>
      </c>
      <c r="BB220">
        <f t="shared" si="250"/>
        <v>1.30117666350189</v>
      </c>
      <c r="BC220" s="30" t="str">
        <f t="shared" si="251"/>
        <v>-0,239952196932137+0,0862770512818948i</v>
      </c>
      <c r="BD220" s="32">
        <f t="shared" si="252"/>
        <v>-11.8694778225652</v>
      </c>
      <c r="BE220" s="31">
        <f t="shared" si="253"/>
        <v>160.223478503296</v>
      </c>
      <c r="BF220" s="30" t="str">
        <f t="shared" si="254"/>
        <v>0,543701568762815+1,70974199102976i</v>
      </c>
      <c r="BG220" s="68">
        <f t="shared" si="255"/>
        <v>5.07697915126131</v>
      </c>
      <c r="BH220" s="31">
        <f t="shared" si="256"/>
        <v>72.3592259561409</v>
      </c>
      <c r="BI220" s="30" t="str">
        <f t="shared" si="209"/>
        <v>1,19513303703887+14,8358137783369i</v>
      </c>
      <c r="BJ220" s="68">
        <f t="shared" si="257"/>
        <v>23.4543198572077</v>
      </c>
      <c r="BK220" s="31">
        <f t="shared" si="210"/>
        <v>85.3943525158664</v>
      </c>
      <c r="BL220" s="32">
        <f t="shared" si="258"/>
        <v>5.07697915126131</v>
      </c>
      <c r="BM220" s="31">
        <f t="shared" si="259"/>
        <v>72.3592259561409</v>
      </c>
      <c r="BO220">
        <f t="shared" si="260"/>
        <v>0</v>
      </c>
      <c r="BP220">
        <f t="shared" si="261"/>
        <v>0</v>
      </c>
    </row>
    <row r="221" spans="14:68">
      <c r="N221" s="7">
        <v>3</v>
      </c>
      <c r="O221" s="18">
        <f t="shared" si="262"/>
        <v>1071.51930523761</v>
      </c>
      <c r="P221" s="86" t="str">
        <f t="shared" si="212"/>
        <v>60</v>
      </c>
      <c r="Q221" s="4" t="str">
        <f t="shared" si="213"/>
        <v>1+8,79720435723688i</v>
      </c>
      <c r="R221" s="4">
        <f t="shared" si="224"/>
        <v>8.85385817048068</v>
      </c>
      <c r="S221" s="4">
        <f t="shared" si="225"/>
        <v>1.45760969349797</v>
      </c>
      <c r="T221" s="4" t="str">
        <f t="shared" si="214"/>
        <v>1+0,105566452286843i</v>
      </c>
      <c r="U221" s="4">
        <f t="shared" si="226"/>
        <v>1.00555669946972</v>
      </c>
      <c r="V221" s="4">
        <f t="shared" si="227"/>
        <v>0.105176899867654</v>
      </c>
      <c r="W221" t="str">
        <f t="shared" si="215"/>
        <v>1-0,147274626516243i</v>
      </c>
      <c r="X221" s="4">
        <f t="shared" si="228"/>
        <v>1.01078673102465</v>
      </c>
      <c r="Y221" s="4">
        <f t="shared" si="229"/>
        <v>-0.146223485907585</v>
      </c>
      <c r="Z221" t="str">
        <f t="shared" si="216"/>
        <v>0,999990627317376+0,0392961335824097i</v>
      </c>
      <c r="AA221" s="4">
        <f t="shared" si="230"/>
        <v>1.00076242976899</v>
      </c>
      <c r="AB221" s="4">
        <f t="shared" si="231"/>
        <v>0.0392762931999977</v>
      </c>
      <c r="AC221" s="67" t="str">
        <f t="shared" si="232"/>
        <v>0,22614801847016-6,87890363784779i</v>
      </c>
      <c r="AD221" s="68">
        <f t="shared" si="233"/>
        <v>16.7550758540936</v>
      </c>
      <c r="AE221" s="31">
        <f t="shared" si="234"/>
        <v>-88.1170455935784</v>
      </c>
      <c r="AF221" s="32" t="str">
        <f t="shared" si="235"/>
        <v>326,048966736478</v>
      </c>
      <c r="AG221" s="32" t="str">
        <f t="shared" si="217"/>
        <v>1+5,65534565822372i</v>
      </c>
      <c r="AH221" s="32">
        <f t="shared" si="236"/>
        <v>5.74307709455392</v>
      </c>
      <c r="AI221" s="32">
        <f t="shared" si="237"/>
        <v>1.39578155441727</v>
      </c>
      <c r="AJ221" s="32" t="str">
        <f t="shared" si="218"/>
        <v>1+0,105566452286843i</v>
      </c>
      <c r="AK221" s="32">
        <f t="shared" si="238"/>
        <v>1.00555669946972</v>
      </c>
      <c r="AL221" s="32">
        <f t="shared" si="239"/>
        <v>0.105176899867654</v>
      </c>
      <c r="AM221" s="32" t="str">
        <f t="shared" si="219"/>
        <v>1-0,0174221395755201i</v>
      </c>
      <c r="AN221" s="32">
        <f t="shared" si="240"/>
        <v>1.00015175395906</v>
      </c>
      <c r="AO221" s="32">
        <f t="shared" si="241"/>
        <v>-0.0174203771769642</v>
      </c>
      <c r="AP221" s="30" t="str">
        <f t="shared" si="242"/>
        <v>14,8312958701647-55,1367426219436i</v>
      </c>
      <c r="AQ221" s="32">
        <f t="shared" si="243"/>
        <v>35.1322129343996</v>
      </c>
      <c r="AR221" s="31">
        <f t="shared" si="244"/>
        <v>-74.9443138153987</v>
      </c>
      <c r="AS221" t="str">
        <f t="shared" si="220"/>
        <v>-0,000100699300699301</v>
      </c>
      <c r="AT221" t="str">
        <f t="shared" si="221"/>
        <v>0,00151280496357484i</v>
      </c>
      <c r="AU221">
        <f t="shared" si="245"/>
        <v>0.00151280496357484</v>
      </c>
      <c r="AV221">
        <f t="shared" si="246"/>
        <v>1.5707963267949</v>
      </c>
      <c r="AW221" t="str">
        <f t="shared" si="222"/>
        <v>1+0,0774528393758255i</v>
      </c>
      <c r="AX221">
        <f t="shared" si="247"/>
        <v>1.00299498619254</v>
      </c>
      <c r="AY221">
        <f t="shared" si="248"/>
        <v>0.0772985160898911</v>
      </c>
      <c r="AZ221" t="str">
        <f t="shared" si="223"/>
        <v>1+3,70290489526552i</v>
      </c>
      <c r="BA221">
        <f t="shared" si="249"/>
        <v>3.83555793377982</v>
      </c>
      <c r="BB221">
        <f t="shared" si="250"/>
        <v>1.30703020503309</v>
      </c>
      <c r="BC221" s="30" t="str">
        <f t="shared" si="251"/>
        <v>-0,239887796919396+0,0851446197052824i</v>
      </c>
      <c r="BD221" s="32">
        <f t="shared" si="252"/>
        <v>-11.884534026386</v>
      </c>
      <c r="BE221" s="31">
        <f t="shared" si="253"/>
        <v>160.45843570994</v>
      </c>
      <c r="BF221" s="30" t="str">
        <f t="shared" si="254"/>
        <v>0,53145148430534+1,66942032593387i</v>
      </c>
      <c r="BG221" s="68">
        <f t="shared" si="255"/>
        <v>4.87054182770763</v>
      </c>
      <c r="BH221" s="31">
        <f t="shared" si="256"/>
        <v>72.3413901163615</v>
      </c>
      <c r="BI221" s="30" t="str">
        <f t="shared" si="209"/>
        <v>1,13675009057988+14,4894367634915i</v>
      </c>
      <c r="BJ221" s="68">
        <f t="shared" si="257"/>
        <v>23.2476789080136</v>
      </c>
      <c r="BK221" s="31">
        <f t="shared" si="210"/>
        <v>85.5141218945411</v>
      </c>
      <c r="BL221" s="32">
        <f t="shared" si="258"/>
        <v>4.87054182770763</v>
      </c>
      <c r="BM221" s="31">
        <f t="shared" si="259"/>
        <v>72.3413901163615</v>
      </c>
      <c r="BO221">
        <f t="shared" si="260"/>
        <v>0</v>
      </c>
      <c r="BP221">
        <f t="shared" si="261"/>
        <v>0</v>
      </c>
    </row>
    <row r="222" spans="14:68">
      <c r="N222" s="7">
        <v>4</v>
      </c>
      <c r="O222" s="18">
        <f t="shared" si="262"/>
        <v>1096.47819614319</v>
      </c>
      <c r="P222" s="86" t="str">
        <f t="shared" si="212"/>
        <v>60</v>
      </c>
      <c r="Q222" s="4" t="str">
        <f t="shared" si="213"/>
        <v>1+9,00211757042223i</v>
      </c>
      <c r="R222" s="4">
        <f t="shared" si="224"/>
        <v>9.05748975995583</v>
      </c>
      <c r="S222" s="4">
        <f t="shared" si="225"/>
        <v>1.46016492365</v>
      </c>
      <c r="T222" s="4" t="str">
        <f t="shared" si="214"/>
        <v>1+0,108025410845067i</v>
      </c>
      <c r="U222" s="4">
        <f t="shared" si="226"/>
        <v>1.00581782117253</v>
      </c>
      <c r="V222" s="4">
        <f t="shared" si="227"/>
        <v>0.107608128195048</v>
      </c>
      <c r="W222" t="str">
        <f t="shared" si="215"/>
        <v>1-0,150705093254837i</v>
      </c>
      <c r="X222" s="4">
        <f t="shared" si="228"/>
        <v>1.01129225505437</v>
      </c>
      <c r="Y222" s="4">
        <f t="shared" si="229"/>
        <v>-0.149579453935326</v>
      </c>
      <c r="Z222" t="str">
        <f t="shared" si="216"/>
        <v>0,999990185596452+0,0402114581186084i</v>
      </c>
      <c r="AA222" s="4">
        <f t="shared" si="230"/>
        <v>1.00079834764714</v>
      </c>
      <c r="AB222" s="4">
        <f t="shared" si="231"/>
        <v>0.0401901996816155</v>
      </c>
      <c r="AC222" s="67" t="str">
        <f t="shared" si="232"/>
        <v>0,191654825467791-6,73002685927716i</v>
      </c>
      <c r="AD222" s="68">
        <f t="shared" si="233"/>
        <v>16.5638565293936</v>
      </c>
      <c r="AE222" s="31">
        <f t="shared" si="234"/>
        <v>-88.3687961632187</v>
      </c>
      <c r="AF222" s="32" t="str">
        <f t="shared" si="235"/>
        <v>326,048966736478</v>
      </c>
      <c r="AG222" s="32" t="str">
        <f t="shared" si="217"/>
        <v>1+5,78707558098573i</v>
      </c>
      <c r="AH222" s="32">
        <f t="shared" si="236"/>
        <v>5.87283949891714</v>
      </c>
      <c r="AI222" s="32">
        <f t="shared" si="237"/>
        <v>1.39968719939122</v>
      </c>
      <c r="AJ222" s="32" t="str">
        <f t="shared" si="218"/>
        <v>1+0,108025410845067i</v>
      </c>
      <c r="AK222" s="32">
        <f t="shared" si="238"/>
        <v>1.00581782117253</v>
      </c>
      <c r="AL222" s="32">
        <f t="shared" si="239"/>
        <v>0.107608128195048</v>
      </c>
      <c r="AM222" s="32" t="str">
        <f t="shared" si="219"/>
        <v>1-0,0178279533381669i</v>
      </c>
      <c r="AN222" s="32">
        <f t="shared" si="240"/>
        <v>1.00015890533466</v>
      </c>
      <c r="AO222" s="32">
        <f t="shared" si="241"/>
        <v>-0.0178260649102949</v>
      </c>
      <c r="AP222" s="30" t="str">
        <f t="shared" si="242"/>
        <v>14,4060383089467-53,9600446940685i</v>
      </c>
      <c r="AQ222" s="32">
        <f t="shared" si="243"/>
        <v>34.9404605738528</v>
      </c>
      <c r="AR222" s="31">
        <f t="shared" si="244"/>
        <v>-75.0520358614103</v>
      </c>
      <c r="AS222" t="str">
        <f t="shared" si="220"/>
        <v>-0,000100699300699301</v>
      </c>
      <c r="AT222" t="str">
        <f t="shared" si="221"/>
        <v>0,00154804271791368i</v>
      </c>
      <c r="AU222">
        <f t="shared" si="245"/>
        <v>0.00154804271791368</v>
      </c>
      <c r="AV222">
        <f t="shared" si="246"/>
        <v>1.5707963267949</v>
      </c>
      <c r="AW222" t="str">
        <f t="shared" si="222"/>
        <v>1+0,0792569477655292i</v>
      </c>
      <c r="AX222">
        <f t="shared" si="247"/>
        <v>1.00313591490341</v>
      </c>
      <c r="AY222">
        <f t="shared" si="248"/>
        <v>0.07909161529167</v>
      </c>
      <c r="AZ222" t="str">
        <f t="shared" si="223"/>
        <v>1+3,78915663040731i</v>
      </c>
      <c r="BA222">
        <f t="shared" si="249"/>
        <v>3.91889116584777</v>
      </c>
      <c r="BB222">
        <f t="shared" si="250"/>
        <v>1.31276844194151</v>
      </c>
      <c r="BC222" s="30" t="str">
        <f t="shared" si="251"/>
        <v>-0,239820398867498+0,0840568655931051i</v>
      </c>
      <c r="BD222" s="32">
        <f t="shared" si="252"/>
        <v>-11.8990612631772</v>
      </c>
      <c r="BE222" s="31">
        <f t="shared" si="253"/>
        <v>160.684475450128</v>
      </c>
      <c r="BF222" s="30" t="str">
        <f t="shared" si="254"/>
        <v>0,519742226459681+1,63010762968544i</v>
      </c>
      <c r="BG222" s="68">
        <f t="shared" si="255"/>
        <v>4.6647952662164</v>
      </c>
      <c r="BH222" s="31">
        <f t="shared" si="256"/>
        <v>72.3156792869095</v>
      </c>
      <c r="BI222" s="30" t="str">
        <f t="shared" si="209"/>
        <v>1,08085037089521+14,1516458673038i</v>
      </c>
      <c r="BJ222" s="68">
        <f t="shared" si="257"/>
        <v>23.0413993106756</v>
      </c>
      <c r="BK222" s="31">
        <f t="shared" si="210"/>
        <v>85.6324395887178</v>
      </c>
      <c r="BL222" s="32">
        <f t="shared" si="258"/>
        <v>4.6647952662164</v>
      </c>
      <c r="BM222" s="31">
        <f t="shared" si="259"/>
        <v>72.3156792869095</v>
      </c>
      <c r="BO222">
        <f t="shared" si="260"/>
        <v>0</v>
      </c>
      <c r="BP222">
        <f t="shared" si="261"/>
        <v>0</v>
      </c>
    </row>
    <row r="223" spans="14:68">
      <c r="N223" s="7">
        <v>5</v>
      </c>
      <c r="O223" s="18">
        <f t="shared" si="262"/>
        <v>1122.01845430196</v>
      </c>
      <c r="P223" s="86" t="str">
        <f t="shared" si="212"/>
        <v>60</v>
      </c>
      <c r="Q223" s="4" t="str">
        <f t="shared" si="213"/>
        <v>1+9,21180382550044i</v>
      </c>
      <c r="R223" s="4">
        <f t="shared" si="224"/>
        <v>9.26592303656277</v>
      </c>
      <c r="S223" s="4">
        <f t="shared" si="225"/>
        <v>1.46266339213043</v>
      </c>
      <c r="T223" s="4" t="str">
        <f t="shared" si="214"/>
        <v>1+0,110541645906005i</v>
      </c>
      <c r="U223" s="4">
        <f t="shared" si="226"/>
        <v>1.00609117652408</v>
      </c>
      <c r="V223" s="4">
        <f t="shared" si="227"/>
        <v>0.110094665564745</v>
      </c>
      <c r="W223" t="str">
        <f t="shared" si="215"/>
        <v>1-0,154215465828691i</v>
      </c>
      <c r="X223" s="4">
        <f t="shared" si="228"/>
        <v>1.01182133299351</v>
      </c>
      <c r="Y223" s="4">
        <f t="shared" si="229"/>
        <v>-0.153010081333712</v>
      </c>
      <c r="Z223" t="str">
        <f t="shared" si="216"/>
        <v>0,999989723057863+0,0411481033021626i</v>
      </c>
      <c r="AA223" s="4">
        <f t="shared" si="230"/>
        <v>1.00083595690138</v>
      </c>
      <c r="AB223" s="4">
        <f t="shared" si="231"/>
        <v>0.0411253255039451</v>
      </c>
      <c r="AC223" s="67" t="str">
        <f t="shared" si="232"/>
        <v>0,158662816935689-6,58437840908119i</v>
      </c>
      <c r="AD223" s="68">
        <f t="shared" si="233"/>
        <v>16.3728166786945</v>
      </c>
      <c r="AE223" s="31">
        <f t="shared" si="234"/>
        <v>-88.6196189994509</v>
      </c>
      <c r="AF223" s="32" t="str">
        <f t="shared" si="235"/>
        <v>326,048966736478</v>
      </c>
      <c r="AG223" s="32" t="str">
        <f t="shared" si="217"/>
        <v>1+5,92187388782172i</v>
      </c>
      <c r="AH223" s="32">
        <f t="shared" si="236"/>
        <v>6.00571314193949</v>
      </c>
      <c r="AI223" s="32">
        <f t="shared" si="237"/>
        <v>1.40350904182257</v>
      </c>
      <c r="AJ223" s="32" t="str">
        <f t="shared" si="218"/>
        <v>1+0,110541645906005i</v>
      </c>
      <c r="AK223" s="32">
        <f t="shared" si="238"/>
        <v>1.00609117652408</v>
      </c>
      <c r="AL223" s="32">
        <f t="shared" si="239"/>
        <v>0.110094665564745</v>
      </c>
      <c r="AM223" s="32" t="str">
        <f t="shared" si="219"/>
        <v>1-0,0182432197176544i</v>
      </c>
      <c r="AN223" s="32">
        <f t="shared" si="240"/>
        <v>1.0001663936894</v>
      </c>
      <c r="AO223" s="32">
        <f t="shared" si="241"/>
        <v>-0.0182411962489141</v>
      </c>
      <c r="AP223" s="30" t="str">
        <f t="shared" si="242"/>
        <v>13,9988341851555-52,8055241309036i</v>
      </c>
      <c r="AQ223" s="32">
        <f t="shared" si="243"/>
        <v>34.7485568339062</v>
      </c>
      <c r="AR223" s="31">
        <f t="shared" si="244"/>
        <v>-75.1523284794517</v>
      </c>
      <c r="AS223" t="str">
        <f t="shared" si="220"/>
        <v>-0,000100699300699301</v>
      </c>
      <c r="AT223" t="str">
        <f t="shared" si="221"/>
        <v>0,00158410126499231i</v>
      </c>
      <c r="AU223">
        <f t="shared" si="245"/>
        <v>0.00158410126499231</v>
      </c>
      <c r="AV223">
        <f t="shared" si="246"/>
        <v>1.5707963267949</v>
      </c>
      <c r="AW223" t="str">
        <f t="shared" si="222"/>
        <v>1+0,0811030792380271i</v>
      </c>
      <c r="AX223">
        <f t="shared" si="247"/>
        <v>1.00328346416249</v>
      </c>
      <c r="AY223">
        <f t="shared" si="248"/>
        <v>0.0809259535989826</v>
      </c>
      <c r="AZ223" t="str">
        <f t="shared" si="223"/>
        <v>1+3,87741742654993i</v>
      </c>
      <c r="BA223">
        <f t="shared" si="249"/>
        <v>4.00429343326798</v>
      </c>
      <c r="BB223">
        <f t="shared" si="250"/>
        <v>1.31839290453689</v>
      </c>
      <c r="BC223" s="30" t="str">
        <f t="shared" si="251"/>
        <v>-0,239749865022511+0,0830131792021588i</v>
      </c>
      <c r="BD223" s="32">
        <f t="shared" si="252"/>
        <v>-11.9130849121227</v>
      </c>
      <c r="BE223" s="31">
        <f t="shared" si="253"/>
        <v>160.901633575664</v>
      </c>
      <c r="BF223" s="30" t="str">
        <f t="shared" si="254"/>
        <v>0,508550795863459+1,59177493968935i</v>
      </c>
      <c r="BG223" s="68">
        <f t="shared" si="255"/>
        <v>4.45973176657179</v>
      </c>
      <c r="BH223" s="31">
        <f t="shared" si="256"/>
        <v>72.2820145762135</v>
      </c>
      <c r="BI223" s="30" t="str">
        <f t="shared" si="209"/>
        <v>1,02733583117908+13,8222050136607i</v>
      </c>
      <c r="BJ223" s="68">
        <f t="shared" si="257"/>
        <v>22.8354719217835</v>
      </c>
      <c r="BK223" s="31">
        <f t="shared" si="210"/>
        <v>85.7493050962128</v>
      </c>
      <c r="BL223" s="32">
        <f t="shared" si="258"/>
        <v>4.45973176657179</v>
      </c>
      <c r="BM223" s="31">
        <f t="shared" si="259"/>
        <v>72.2820145762135</v>
      </c>
      <c r="BO223">
        <f t="shared" si="260"/>
        <v>0</v>
      </c>
      <c r="BP223">
        <f t="shared" si="261"/>
        <v>0</v>
      </c>
    </row>
    <row r="224" spans="14:68">
      <c r="N224" s="7">
        <v>6</v>
      </c>
      <c r="O224" s="18">
        <f t="shared" si="262"/>
        <v>1148.15362149688</v>
      </c>
      <c r="P224" s="86" t="str">
        <f t="shared" si="212"/>
        <v>60</v>
      </c>
      <c r="Q224" s="4" t="str">
        <f t="shared" si="213"/>
        <v>1+9,42637430089966i</v>
      </c>
      <c r="R224" s="4">
        <f t="shared" si="224"/>
        <v>9.47926856147992</v>
      </c>
      <c r="S224" s="4">
        <f t="shared" si="225"/>
        <v>1.46510629882211</v>
      </c>
      <c r="T224" s="4" t="str">
        <f t="shared" si="214"/>
        <v>1+0,113116491610796i</v>
      </c>
      <c r="U224" s="4">
        <f t="shared" si="226"/>
        <v>1.00637733513545</v>
      </c>
      <c r="V224" s="4">
        <f t="shared" si="227"/>
        <v>0.112637707313463</v>
      </c>
      <c r="W224" t="str">
        <f t="shared" si="215"/>
        <v>1-0,157807605483811i</v>
      </c>
      <c r="X224" s="4">
        <f t="shared" si="228"/>
        <v>1.01237504925227</v>
      </c>
      <c r="Y224" s="4">
        <f t="shared" si="229"/>
        <v>-0.156516863894218</v>
      </c>
      <c r="Z224" t="str">
        <f t="shared" si="216"/>
        <v>0,999989238720502+0,0421065657547476i</v>
      </c>
      <c r="AA224" s="4">
        <f t="shared" si="230"/>
        <v>1.00087533711071</v>
      </c>
      <c r="AB224" s="4">
        <f t="shared" si="231"/>
        <v>0.0420821600568838</v>
      </c>
      <c r="AC224" s="67" t="str">
        <f t="shared" si="232"/>
        <v>0,127106939138968-6,44190315377964i</v>
      </c>
      <c r="AD224" s="68">
        <f t="shared" si="233"/>
        <v>16.1819743083685</v>
      </c>
      <c r="AE224" s="31">
        <f t="shared" si="234"/>
        <v>-88.8696281052644</v>
      </c>
      <c r="AF224" s="32" t="str">
        <f t="shared" si="235"/>
        <v>326,048966736478</v>
      </c>
      <c r="AG224" s="32" t="str">
        <f t="shared" si="217"/>
        <v>1+6,05981205057836i</v>
      </c>
      <c r="AH224" s="32">
        <f t="shared" si="236"/>
        <v>6.14176864496984</v>
      </c>
      <c r="AI224" s="32">
        <f t="shared" si="237"/>
        <v>1.40724866128952</v>
      </c>
      <c r="AJ224" s="32" t="str">
        <f t="shared" si="218"/>
        <v>1+0,113116491610796i</v>
      </c>
      <c r="AK224" s="32">
        <f t="shared" si="238"/>
        <v>1.00637733513545</v>
      </c>
      <c r="AL224" s="32">
        <f t="shared" si="239"/>
        <v>0.112637707313463</v>
      </c>
      <c r="AM224" s="32" t="str">
        <f t="shared" si="219"/>
        <v>1-0,0186681588937138i</v>
      </c>
      <c r="AN224" s="32">
        <f t="shared" si="240"/>
        <v>1.00017423489934</v>
      </c>
      <c r="AO224" s="32">
        <f t="shared" si="241"/>
        <v>-0.0186659907282941</v>
      </c>
      <c r="AP224" s="30" t="str">
        <f t="shared" si="242"/>
        <v>13,6089626522385-51,672974583518i</v>
      </c>
      <c r="AQ224" s="32">
        <f t="shared" si="243"/>
        <v>34.5565177069862</v>
      </c>
      <c r="AR224" s="31">
        <f t="shared" si="244"/>
        <v>-75.2452262633952</v>
      </c>
      <c r="AS224" t="str">
        <f t="shared" si="220"/>
        <v>-0,000100699300699301</v>
      </c>
      <c r="AT224" t="str">
        <f t="shared" si="221"/>
        <v>0,00162099972352971i</v>
      </c>
      <c r="AU224">
        <f t="shared" si="245"/>
        <v>0.00162099972352971</v>
      </c>
      <c r="AV224">
        <f t="shared" si="246"/>
        <v>1.5707963267949</v>
      </c>
      <c r="AW224" t="str">
        <f t="shared" si="222"/>
        <v>1+0,082992212636664i</v>
      </c>
      <c r="AX224">
        <f t="shared" si="247"/>
        <v>1.00343794394986</v>
      </c>
      <c r="AY224">
        <f t="shared" si="248"/>
        <v>0.0828024541973368</v>
      </c>
      <c r="AZ224" t="str">
        <f t="shared" si="223"/>
        <v>1+3,96773408073582i</v>
      </c>
      <c r="BA224">
        <f t="shared" si="249"/>
        <v>4.09181056934855</v>
      </c>
      <c r="BB224">
        <f t="shared" si="250"/>
        <v>1.32390515097124</v>
      </c>
      <c r="BC224" s="30" t="str">
        <f t="shared" si="251"/>
        <v>-0,239676051474798+0,0820129718452552i</v>
      </c>
      <c r="BD224" s="32">
        <f t="shared" si="252"/>
        <v>-11.9266297145092</v>
      </c>
      <c r="BE224" s="31">
        <f t="shared" si="253"/>
        <v>161.109946467449</v>
      </c>
      <c r="BF224" s="30" t="str">
        <f t="shared" si="254"/>
        <v>0,497855132692915+1,55439432970189i</v>
      </c>
      <c r="BG224" s="68">
        <f t="shared" si="255"/>
        <v>4.25534459385932</v>
      </c>
      <c r="BH224" s="31">
        <f t="shared" si="256"/>
        <v>72.2403183621849</v>
      </c>
      <c r="BI224" s="30" t="str">
        <f t="shared" si="209"/>
        <v>0,976111776522131+13,5008859869764i</v>
      </c>
      <c r="BJ224" s="68">
        <f t="shared" si="257"/>
        <v>22.629887992477</v>
      </c>
      <c r="BK224" s="31">
        <f t="shared" si="210"/>
        <v>85.8647202040542</v>
      </c>
      <c r="BL224" s="32">
        <f t="shared" si="258"/>
        <v>4.25534459385932</v>
      </c>
      <c r="BM224" s="31">
        <f t="shared" si="259"/>
        <v>72.2403183621849</v>
      </c>
      <c r="BO224">
        <f t="shared" si="260"/>
        <v>0</v>
      </c>
      <c r="BP224">
        <f t="shared" si="261"/>
        <v>0</v>
      </c>
    </row>
    <row r="225" spans="14:68">
      <c r="N225" s="7">
        <v>7</v>
      </c>
      <c r="O225" s="18">
        <f t="shared" si="262"/>
        <v>1174.89755493953</v>
      </c>
      <c r="P225" s="86" t="str">
        <f t="shared" si="212"/>
        <v>60</v>
      </c>
      <c r="Q225" s="4" t="str">
        <f t="shared" si="213"/>
        <v>1+9,64594276472604i</v>
      </c>
      <c r="R225" s="4">
        <f t="shared" si="224"/>
        <v>9.6976394973401</v>
      </c>
      <c r="S225" s="4">
        <f t="shared" si="225"/>
        <v>1.46749482229291</v>
      </c>
      <c r="T225" s="4" t="str">
        <f t="shared" si="214"/>
        <v>1+0,115751313176713i</v>
      </c>
      <c r="U225" s="4">
        <f t="shared" si="226"/>
        <v>1.00667689280232</v>
      </c>
      <c r="V225" s="4">
        <f t="shared" si="227"/>
        <v>0.11523847015621</v>
      </c>
      <c r="W225" t="str">
        <f t="shared" si="215"/>
        <v>1-0,161483416820191i</v>
      </c>
      <c r="X225" s="4">
        <f t="shared" si="228"/>
        <v>1.01295453694029</v>
      </c>
      <c r="Y225" s="4">
        <f t="shared" si="229"/>
        <v>-0.160101315784468</v>
      </c>
      <c r="Z225" t="str">
        <f t="shared" si="216"/>
        <v>0,999988731557024+0,0430873536658422i</v>
      </c>
      <c r="AA225" s="4">
        <f t="shared" si="230"/>
        <v>1.00091657159173</v>
      </c>
      <c r="AB225" s="4">
        <f t="shared" si="231"/>
        <v>0.043061203782577</v>
      </c>
      <c r="AC225" s="67" t="str">
        <f t="shared" si="232"/>
        <v>0,0969247613532346-6,30254621786993i</v>
      </c>
      <c r="AD225" s="68">
        <f t="shared" si="233"/>
        <v>15.9913477824304</v>
      </c>
      <c r="AE225" s="31">
        <f t="shared" si="234"/>
        <v>-89.118936723625</v>
      </c>
      <c r="AF225" s="32" t="str">
        <f t="shared" si="235"/>
        <v>326,048966736478</v>
      </c>
      <c r="AG225" s="32" t="str">
        <f t="shared" si="217"/>
        <v>1+6,20096320589532i</v>
      </c>
      <c r="AH225" s="32">
        <f t="shared" si="236"/>
        <v>6.28107830558317</v>
      </c>
      <c r="AI225" s="32">
        <f t="shared" si="237"/>
        <v>1.41090762199549</v>
      </c>
      <c r="AJ225" s="32" t="str">
        <f t="shared" si="218"/>
        <v>1+0,115751313176713i</v>
      </c>
      <c r="AK225" s="32">
        <f t="shared" si="238"/>
        <v>1.00667689280232</v>
      </c>
      <c r="AL225" s="32">
        <f t="shared" si="239"/>
        <v>0.11523847015621</v>
      </c>
      <c r="AM225" s="32" t="str">
        <f t="shared" si="219"/>
        <v>1-0,019102996174721i</v>
      </c>
      <c r="AN225" s="32">
        <f t="shared" si="240"/>
        <v>1.00018244558823</v>
      </c>
      <c r="AO225" s="32">
        <f t="shared" si="241"/>
        <v>-0.0191006729665045</v>
      </c>
      <c r="AP225" s="30" t="str">
        <f t="shared" si="242"/>
        <v>13,2357277239068-50,5621767238757i</v>
      </c>
      <c r="AQ225" s="32">
        <f t="shared" si="243"/>
        <v>34.3643589669175</v>
      </c>
      <c r="AR225" s="31">
        <f t="shared" si="244"/>
        <v>-75.3307619925263</v>
      </c>
      <c r="AS225" t="str">
        <f t="shared" si="220"/>
        <v>-0,000100699300699301</v>
      </c>
      <c r="AT225" t="str">
        <f t="shared" si="221"/>
        <v>0,001658757657577i</v>
      </c>
      <c r="AU225">
        <f t="shared" si="245"/>
        <v>0.001658757657577</v>
      </c>
      <c r="AV225">
        <f t="shared" si="246"/>
        <v>1.5707963267949</v>
      </c>
      <c r="AW225" t="str">
        <f t="shared" si="222"/>
        <v>1+0,0849253496049727i</v>
      </c>
      <c r="AX225">
        <f t="shared" si="247"/>
        <v>1.00359967865954</v>
      </c>
      <c r="AY225">
        <f t="shared" si="248"/>
        <v>0.0847220591416609</v>
      </c>
      <c r="AZ225" t="str">
        <f t="shared" si="223"/>
        <v>1+4,0601544800505i</v>
      </c>
      <c r="BA225">
        <f t="shared" si="249"/>
        <v>4.18148949560729</v>
      </c>
      <c r="BB225">
        <f t="shared" si="250"/>
        <v>1.3293067634338</v>
      </c>
      <c r="BC225" s="30" t="str">
        <f t="shared" si="251"/>
        <v>-0,239598807900628+0,0810556754200615i</v>
      </c>
      <c r="BD225" s="32">
        <f t="shared" si="252"/>
        <v>-11.9397197922076</v>
      </c>
      <c r="BE225" s="31">
        <f t="shared" si="253"/>
        <v>161.309450802477</v>
      </c>
      <c r="BF225" s="30" t="str">
        <f t="shared" si="254"/>
        <v>0,487634083279313+1,51793886253666i</v>
      </c>
      <c r="BG225" s="68">
        <f t="shared" si="255"/>
        <v>4.0516279902227</v>
      </c>
      <c r="BH225" s="31">
        <f t="shared" si="256"/>
        <v>72.1905140788523</v>
      </c>
      <c r="BI225" s="30" t="str">
        <f t="shared" si="209"/>
        <v>0,927086800716895+13,1874681182388i</v>
      </c>
      <c r="BJ225" s="68">
        <f t="shared" si="257"/>
        <v>22.4246391747098</v>
      </c>
      <c r="BK225" s="31">
        <f t="shared" si="210"/>
        <v>85.978688809951</v>
      </c>
      <c r="BL225" s="32">
        <f t="shared" si="258"/>
        <v>4.0516279902227</v>
      </c>
      <c r="BM225" s="31">
        <f t="shared" si="259"/>
        <v>72.1905140788523</v>
      </c>
      <c r="BO225">
        <f t="shared" si="260"/>
        <v>0</v>
      </c>
      <c r="BP225">
        <f t="shared" si="261"/>
        <v>0</v>
      </c>
    </row>
    <row r="226" spans="14:68">
      <c r="N226" s="7">
        <v>8</v>
      </c>
      <c r="O226" s="18">
        <f t="shared" si="262"/>
        <v>1202.26443461741</v>
      </c>
      <c r="P226" s="86" t="str">
        <f t="shared" si="212"/>
        <v>60</v>
      </c>
      <c r="Q226" s="4" t="str">
        <f t="shared" si="213"/>
        <v>1+9,87062563508536i</v>
      </c>
      <c r="R226" s="4">
        <f t="shared" si="224"/>
        <v>9.92115166843065</v>
      </c>
      <c r="S226" s="4">
        <f t="shared" si="225"/>
        <v>1.46983011989699</v>
      </c>
      <c r="T226" s="4" t="str">
        <f t="shared" si="214"/>
        <v>1+0,118447507621024i</v>
      </c>
      <c r="U226" s="4">
        <f t="shared" si="226"/>
        <v>1.00699047267669</v>
      </c>
      <c r="V226" s="4">
        <f t="shared" si="227"/>
        <v>0.117898192243983</v>
      </c>
      <c r="W226" t="str">
        <f t="shared" si="215"/>
        <v>1-0,165244848801652i</v>
      </c>
      <c r="X226" s="4">
        <f t="shared" si="228"/>
        <v>1.01356097993928</v>
      </c>
      <c r="Y226" s="4">
        <f t="shared" si="229"/>
        <v>-0.163764968907546</v>
      </c>
      <c r="Z226" t="str">
        <f t="shared" si="216"/>
        <v>0,999988200491667+0,0440909870621786i</v>
      </c>
      <c r="AA226" s="4">
        <f t="shared" si="230"/>
        <v>1.00095974757364</v>
      </c>
      <c r="AB226" s="4">
        <f t="shared" si="231"/>
        <v>0.0440629684081977</v>
      </c>
      <c r="AC226" s="67" t="str">
        <f t="shared" si="232"/>
        <v>0,0680563795152857-6,16625304347775i</v>
      </c>
      <c r="AD226" s="68">
        <f t="shared" si="233"/>
        <v>15.8009558530732</v>
      </c>
      <c r="AE226" s="31">
        <f t="shared" si="234"/>
        <v>-89.3676573166048</v>
      </c>
      <c r="AF226" s="32" t="str">
        <f t="shared" si="235"/>
        <v>326,048966736478</v>
      </c>
      <c r="AG226" s="32" t="str">
        <f t="shared" si="217"/>
        <v>1+6,34540219398346i</v>
      </c>
      <c r="AH226" s="32">
        <f t="shared" si="236"/>
        <v>6.42371613658403</v>
      </c>
      <c r="AI226" s="32">
        <f t="shared" si="237"/>
        <v>1.41448747188185</v>
      </c>
      <c r="AJ226" s="32" t="str">
        <f t="shared" si="218"/>
        <v>1+0,118447507621024i</v>
      </c>
      <c r="AK226" s="32">
        <f t="shared" si="238"/>
        <v>1.00699047267669</v>
      </c>
      <c r="AL226" s="32">
        <f t="shared" si="239"/>
        <v>0.117898192243983</v>
      </c>
      <c r="AM226" s="32" t="str">
        <f t="shared" si="219"/>
        <v>1-0,019547962117158i</v>
      </c>
      <c r="AN226" s="32">
        <f t="shared" si="240"/>
        <v>1.00019104316272</v>
      </c>
      <c r="AO226" s="32">
        <f t="shared" si="241"/>
        <v>-0.0195454727803836</v>
      </c>
      <c r="AP226" s="30" t="str">
        <f t="shared" si="242"/>
        <v>12,8784577627611-49,4728995207047i</v>
      </c>
      <c r="AQ226" s="32">
        <f t="shared" si="243"/>
        <v>34.1720961936976</v>
      </c>
      <c r="AR226" s="31">
        <f t="shared" si="244"/>
        <v>-75.4089665840613</v>
      </c>
      <c r="AS226" t="str">
        <f t="shared" si="220"/>
        <v>-0,000100699300699301</v>
      </c>
      <c r="AT226" t="str">
        <f t="shared" si="221"/>
        <v>0,00169739508689057i</v>
      </c>
      <c r="AU226">
        <f t="shared" si="245"/>
        <v>0.00169739508689057</v>
      </c>
      <c r="AV226">
        <f t="shared" si="246"/>
        <v>1.5707963267949</v>
      </c>
      <c r="AW226" t="str">
        <f t="shared" si="222"/>
        <v>1+0,0869035151177614i</v>
      </c>
      <c r="AX226">
        <f t="shared" si="247"/>
        <v>1.00376900776016</v>
      </c>
      <c r="AY226">
        <f t="shared" si="248"/>
        <v>0.0866857296122792</v>
      </c>
      <c r="AZ226" t="str">
        <f t="shared" si="223"/>
        <v>1+4,15472762701297i</v>
      </c>
      <c r="BA226">
        <f t="shared" si="249"/>
        <v>4.27337824848969</v>
      </c>
      <c r="BB226">
        <f t="shared" si="250"/>
        <v>1.33459934454992</v>
      </c>
      <c r="BC226" s="30" t="str">
        <f t="shared" si="251"/>
        <v>-0,239517977294569+0,0801407419382117i</v>
      </c>
      <c r="BD226" s="32">
        <f t="shared" si="252"/>
        <v>-11.9523786672081</v>
      </c>
      <c r="BE226" s="31">
        <f t="shared" si="253"/>
        <v>161.500183332841</v>
      </c>
      <c r="BF226" s="30" t="str">
        <f t="shared" si="254"/>
        <v>0,47786736751957+1,48238254520825i</v>
      </c>
      <c r="BG226" s="68">
        <f t="shared" si="255"/>
        <v>3.84857718586514</v>
      </c>
      <c r="BH226" s="31">
        <f t="shared" si="256"/>
        <v>72.132526016236</v>
      </c>
      <c r="BI226" s="30" t="str">
        <f t="shared" si="209"/>
        <v>0,880172719413794+12,8817379842242i</v>
      </c>
      <c r="BJ226" s="68">
        <f t="shared" si="257"/>
        <v>22.2197175264896</v>
      </c>
      <c r="BK226" s="31">
        <f t="shared" si="210"/>
        <v>86.0912167487795</v>
      </c>
      <c r="BL226" s="32">
        <f t="shared" si="258"/>
        <v>3.84857718586514</v>
      </c>
      <c r="BM226" s="31">
        <f t="shared" si="259"/>
        <v>72.132526016236</v>
      </c>
      <c r="BO226">
        <f t="shared" si="260"/>
        <v>0</v>
      </c>
      <c r="BP226">
        <f t="shared" si="261"/>
        <v>0</v>
      </c>
    </row>
    <row r="227" spans="14:68">
      <c r="N227" s="7">
        <v>9</v>
      </c>
      <c r="O227" s="18">
        <f t="shared" si="262"/>
        <v>1230.26877081238</v>
      </c>
      <c r="P227" s="86" t="str">
        <f t="shared" si="212"/>
        <v>60</v>
      </c>
      <c r="Q227" s="4" t="str">
        <f t="shared" si="213"/>
        <v>1+10,1005420418096i</v>
      </c>
      <c r="R227" s="4">
        <f t="shared" si="224"/>
        <v>10.1499236222921</v>
      </c>
      <c r="S227" s="4">
        <f t="shared" si="225"/>
        <v>1.47211332789781</v>
      </c>
      <c r="T227" s="4" t="str">
        <f t="shared" si="214"/>
        <v>1+0,121206504501716i</v>
      </c>
      <c r="U227" s="4">
        <f t="shared" si="226"/>
        <v>1.00731872648806</v>
      </c>
      <c r="V227" s="4">
        <f t="shared" si="227"/>
        <v>0.120618133193917</v>
      </c>
      <c r="W227" t="str">
        <f t="shared" si="215"/>
        <v>1-0,169093895789224i</v>
      </c>
      <c r="X227" s="4">
        <f t="shared" si="228"/>
        <v>1.01419561505322</v>
      </c>
      <c r="Y227" s="4">
        <f t="shared" si="229"/>
        <v>-0.167509372182454</v>
      </c>
      <c r="Z227" t="str">
        <f t="shared" si="216"/>
        <v>0,999987644397972+0,0451179980834688i</v>
      </c>
      <c r="AA227" s="4">
        <f t="shared" si="230"/>
        <v>1.00100495638117</v>
      </c>
      <c r="AB227" s="4">
        <f t="shared" si="231"/>
        <v>0.045087977182404</v>
      </c>
      <c r="AC227" s="67" t="str">
        <f t="shared" si="232"/>
        <v>0,0404443222189634-6,03296944484618i</v>
      </c>
      <c r="AD227" s="68">
        <f t="shared" si="233"/>
        <v>15.6108176915069</v>
      </c>
      <c r="AE227" s="31">
        <f t="shared" si="234"/>
        <v>-89.6159015430191</v>
      </c>
      <c r="AF227" s="32" t="str">
        <f t="shared" si="235"/>
        <v>326,048966736478</v>
      </c>
      <c r="AG227" s="32" t="str">
        <f t="shared" si="217"/>
        <v>1+6,4932055983062i</v>
      </c>
      <c r="AH227" s="32">
        <f t="shared" si="236"/>
        <v>6.56975790588017</v>
      </c>
      <c r="AI227" s="32">
        <f t="shared" si="237"/>
        <v>1.41798974182956</v>
      </c>
      <c r="AJ227" s="32" t="str">
        <f t="shared" si="218"/>
        <v>1+0,121206504501716i</v>
      </c>
      <c r="AK227" s="32">
        <f t="shared" si="238"/>
        <v>1.00731872648806</v>
      </c>
      <c r="AL227" s="32">
        <f t="shared" si="239"/>
        <v>0.120618133193917</v>
      </c>
      <c r="AM227" s="32" t="str">
        <f t="shared" si="219"/>
        <v>1-0,0200032926478575i</v>
      </c>
      <c r="AN227" s="32">
        <f t="shared" si="240"/>
        <v>1.00020004584921</v>
      </c>
      <c r="AO227" s="32">
        <f t="shared" si="241"/>
        <v>-0.0200006253042588</v>
      </c>
      <c r="AP227" s="30" t="str">
        <f t="shared" si="242"/>
        <v>12,5365049457251-48,404901441412i</v>
      </c>
      <c r="AQ227" s="32">
        <f t="shared" si="243"/>
        <v>33.9797447982923</v>
      </c>
      <c r="AR227" s="31">
        <f t="shared" si="244"/>
        <v>-75.4798690524771</v>
      </c>
      <c r="AS227" t="str">
        <f t="shared" si="220"/>
        <v>-0,000100699300699301</v>
      </c>
      <c r="AT227" t="str">
        <f t="shared" si="221"/>
        <v>0,00173693249754691i</v>
      </c>
      <c r="AU227">
        <f t="shared" si="245"/>
        <v>0.00173693249754691</v>
      </c>
      <c r="AV227">
        <f t="shared" si="246"/>
        <v>1.5707963267949</v>
      </c>
      <c r="AW227" t="str">
        <f t="shared" si="222"/>
        <v>1+0,08892775802457i</v>
      </c>
      <c r="AX227">
        <f t="shared" si="247"/>
        <v>1.00394628648513</v>
      </c>
      <c r="AY227">
        <f t="shared" si="248"/>
        <v>0.0886944461643029</v>
      </c>
      <c r="AZ227" t="str">
        <f t="shared" si="223"/>
        <v>1+4,25150366555763i</v>
      </c>
      <c r="BA227">
        <f t="shared" si="249"/>
        <v>4.36752600659114</v>
      </c>
      <c r="BB227">
        <f t="shared" si="250"/>
        <v>1.33978451397956</v>
      </c>
      <c r="BC227" s="30" t="str">
        <f t="shared" si="251"/>
        <v>-0,239433395692482+0,0792676430537595i</v>
      </c>
      <c r="BD227" s="32">
        <f t="shared" si="252"/>
        <v>-11.9646292820951</v>
      </c>
      <c r="BE227" s="31">
        <f t="shared" si="253"/>
        <v>161.68218067655</v>
      </c>
      <c r="BF227" s="30" t="str">
        <f t="shared" si="254"/>
        <v>0,468535547102937+1,44770028638571i</v>
      </c>
      <c r="BG227" s="68">
        <f t="shared" si="255"/>
        <v>3.64618840941177</v>
      </c>
      <c r="BH227" s="31">
        <f t="shared" si="256"/>
        <v>72.0662791335309</v>
      </c>
      <c r="BI227" s="30" t="str">
        <f t="shared" si="209"/>
        <v>0,835284500239699+12,5834891194566i</v>
      </c>
      <c r="BJ227" s="68">
        <f t="shared" si="257"/>
        <v>22.0151155161972</v>
      </c>
      <c r="BK227" s="31">
        <f t="shared" si="210"/>
        <v>86.202311624073</v>
      </c>
      <c r="BL227" s="32">
        <f t="shared" si="258"/>
        <v>3.64618840941177</v>
      </c>
      <c r="BM227" s="31">
        <f t="shared" si="259"/>
        <v>72.0662791335309</v>
      </c>
      <c r="BO227">
        <f t="shared" si="260"/>
        <v>0</v>
      </c>
      <c r="BP227">
        <f t="shared" si="261"/>
        <v>0</v>
      </c>
    </row>
    <row r="228" spans="14:68">
      <c r="N228" s="7">
        <v>10</v>
      </c>
      <c r="O228" s="18">
        <f t="shared" si="262"/>
        <v>1258.92541179417</v>
      </c>
      <c r="P228" s="86" t="str">
        <f t="shared" si="212"/>
        <v>60</v>
      </c>
      <c r="Q228" s="4" t="str">
        <f t="shared" si="213"/>
        <v>1+10,335813889621i</v>
      </c>
      <c r="R228" s="4">
        <f t="shared" si="224"/>
        <v>10.3840766927485</v>
      </c>
      <c r="S228" s="4">
        <f t="shared" si="225"/>
        <v>1.47434556161063</v>
      </c>
      <c r="T228" s="4" t="str">
        <f t="shared" si="214"/>
        <v>1+0,124029766675452i</v>
      </c>
      <c r="U228" s="4">
        <f t="shared" si="226"/>
        <v>1.00766233581571</v>
      </c>
      <c r="V228" s="4">
        <f t="shared" si="227"/>
        <v>0.123399574089481</v>
      </c>
      <c r="W228" t="str">
        <f t="shared" si="215"/>
        <v>1-0,173032598598566i</v>
      </c>
      <c r="X228" s="4">
        <f t="shared" si="228"/>
        <v>1.01485973423807</v>
      </c>
      <c r="Y228" s="4">
        <f t="shared" si="229"/>
        <v>-0.171336090740628</v>
      </c>
      <c r="Z228" t="str">
        <f t="shared" si="216"/>
        <v>0,999987062096388+0,0461689312645503i</v>
      </c>
      <c r="AA228" s="4">
        <f t="shared" si="230"/>
        <v>1.0010522936262</v>
      </c>
      <c r="AB228" s="4">
        <f t="shared" si="231"/>
        <v>0.0461367651154351</v>
      </c>
      <c r="AC228" s="67" t="str">
        <f t="shared" si="232"/>
        <v>0,0140334591034432-5,90264165798131i</v>
      </c>
      <c r="AD228" s="68">
        <f t="shared" si="233"/>
        <v>15.420952919098</v>
      </c>
      <c r="AE228" s="31">
        <f t="shared" si="234"/>
        <v>-89.8637802343042</v>
      </c>
      <c r="AF228" s="32" t="str">
        <f t="shared" si="235"/>
        <v>326,048966736478</v>
      </c>
      <c r="AG228" s="32" t="str">
        <f t="shared" si="217"/>
        <v>1+6,64445178618492i</v>
      </c>
      <c r="AH228" s="32">
        <f t="shared" si="236"/>
        <v>6.71928117724924</v>
      </c>
      <c r="AI228" s="32">
        <f t="shared" si="237"/>
        <v>1.42141594494435</v>
      </c>
      <c r="AJ228" s="32" t="str">
        <f t="shared" si="218"/>
        <v>1+0,124029766675452i</v>
      </c>
      <c r="AK228" s="32">
        <f t="shared" si="238"/>
        <v>1.00766233581571</v>
      </c>
      <c r="AL228" s="32">
        <f t="shared" si="239"/>
        <v>0.123399574089481</v>
      </c>
      <c r="AM228" s="32" t="str">
        <f t="shared" si="219"/>
        <v>1-0,0204692291890938i</v>
      </c>
      <c r="AN228" s="32">
        <f t="shared" si="240"/>
        <v>1.00020947273239</v>
      </c>
      <c r="AO228" s="32">
        <f t="shared" si="241"/>
        <v>-0.0204663711112613</v>
      </c>
      <c r="AP228" s="30" t="str">
        <f t="shared" si="242"/>
        <v>12,2092447105346-47,3579315827792i</v>
      </c>
      <c r="AQ228" s="32">
        <f t="shared" si="243"/>
        <v>33.7873200474467</v>
      </c>
      <c r="AR228" s="31">
        <f t="shared" si="244"/>
        <v>-75.5434964754957</v>
      </c>
      <c r="AS228" t="str">
        <f t="shared" si="220"/>
        <v>-0,000100699300699301</v>
      </c>
      <c r="AT228" t="str">
        <f t="shared" si="221"/>
        <v>0,00177739085280447i</v>
      </c>
      <c r="AU228">
        <f t="shared" si="245"/>
        <v>0.00177739085280447</v>
      </c>
      <c r="AV228">
        <f t="shared" si="246"/>
        <v>1.5707963267949</v>
      </c>
      <c r="AW228" t="str">
        <f t="shared" si="222"/>
        <v>1+0,0909991516057813i</v>
      </c>
      <c r="AX228">
        <f t="shared" si="247"/>
        <v>1.00413188655324</v>
      </c>
      <c r="AY228">
        <f t="shared" si="248"/>
        <v>0.0907492089694531</v>
      </c>
      <c r="AZ228" t="str">
        <f t="shared" si="223"/>
        <v>1+4,35053390762107i</v>
      </c>
      <c r="BA228">
        <f t="shared" si="249"/>
        <v>4.46398311840005</v>
      </c>
      <c r="BB228">
        <f t="shared" si="250"/>
        <v>1.34486390521051</v>
      </c>
      <c r="BC228" s="30" t="str">
        <f t="shared" si="251"/>
        <v>-0,23934489188499+0,0784358695900258i</v>
      </c>
      <c r="BD228" s="32">
        <f t="shared" si="252"/>
        <v>-11.9764940213586</v>
      </c>
      <c r="BE228" s="31">
        <f t="shared" si="253"/>
        <v>161.855479119944</v>
      </c>
      <c r="BF228" s="30" t="str">
        <f t="shared" si="254"/>
        <v>0,45961999457019+1,41386785603351i</v>
      </c>
      <c r="BG228" s="68">
        <f t="shared" si="255"/>
        <v>3.44445889773934</v>
      </c>
      <c r="BH228" s="31">
        <f t="shared" si="256"/>
        <v>71.9916988856397</v>
      </c>
      <c r="BI228" s="30" t="str">
        <f t="shared" si="209"/>
        <v>0,792340190439944+12,2925217404852i</v>
      </c>
      <c r="BJ228" s="68">
        <f t="shared" si="257"/>
        <v>21.8108260260881</v>
      </c>
      <c r="BK228" s="31">
        <f t="shared" si="210"/>
        <v>86.3119826444483</v>
      </c>
      <c r="BL228" s="32">
        <f t="shared" si="258"/>
        <v>3.44445889773934</v>
      </c>
      <c r="BM228" s="31">
        <f t="shared" si="259"/>
        <v>71.9916988856397</v>
      </c>
      <c r="BO228">
        <f t="shared" si="260"/>
        <v>0</v>
      </c>
      <c r="BP228">
        <f t="shared" si="261"/>
        <v>0</v>
      </c>
    </row>
    <row r="229" spans="14:68">
      <c r="N229" s="7">
        <v>11</v>
      </c>
      <c r="O229" s="18">
        <f t="shared" si="262"/>
        <v>1288.24955169313</v>
      </c>
      <c r="P229" s="86" t="str">
        <f t="shared" si="212"/>
        <v>60</v>
      </c>
      <c r="Q229" s="4" t="str">
        <f t="shared" si="213"/>
        <v>1+10,5765659227672i</v>
      </c>
      <c r="R229" s="4">
        <f t="shared" si="224"/>
        <v>10.6237350644037</v>
      </c>
      <c r="S229" s="4">
        <f t="shared" si="225"/>
        <v>1.47652791556301</v>
      </c>
      <c r="T229" s="4" t="str">
        <f t="shared" si="214"/>
        <v>1+0,126918791073206i</v>
      </c>
      <c r="U229" s="4">
        <f t="shared" si="226"/>
        <v>1.00802201341413</v>
      </c>
      <c r="V229" s="4">
        <f t="shared" si="227"/>
        <v>0.126243817448207</v>
      </c>
      <c r="W229" t="str">
        <f t="shared" si="215"/>
        <v>1-0,17706304558204i</v>
      </c>
      <c r="X229" s="4">
        <f t="shared" si="228"/>
        <v>1.01555468691291</v>
      </c>
      <c r="Y229" s="4">
        <f t="shared" si="229"/>
        <v>-0.17524670503336</v>
      </c>
      <c r="Z229" t="str">
        <f t="shared" si="216"/>
        <v>0,999986452351776+0,0472443438241059i</v>
      </c>
      <c r="AA229" s="4">
        <f t="shared" si="230"/>
        <v>1.00110185940815</v>
      </c>
      <c r="AB229" s="4">
        <f t="shared" si="231"/>
        <v>0.0472098792228048</v>
      </c>
      <c r="AC229" s="67" t="str">
        <f t="shared" si="232"/>
        <v>-0,0112290883332518-5,77521638575751i</v>
      </c>
      <c r="AD229" s="68">
        <f t="shared" si="233"/>
        <v>15.2313816388124</v>
      </c>
      <c r="AE229" s="31">
        <f t="shared" si="234"/>
        <v>-90.1114033683815</v>
      </c>
      <c r="AF229" s="32" t="str">
        <f t="shared" si="235"/>
        <v>326,048966736478</v>
      </c>
      <c r="AG229" s="32" t="str">
        <f t="shared" si="217"/>
        <v>1+6,79922095035033i</v>
      </c>
      <c r="AH229" s="32">
        <f t="shared" si="236"/>
        <v>6.87236535202276</v>
      </c>
      <c r="AI229" s="32">
        <f t="shared" si="237"/>
        <v>1.42476757592057</v>
      </c>
      <c r="AJ229" s="32" t="str">
        <f t="shared" si="218"/>
        <v>1+0,126918791073206i</v>
      </c>
      <c r="AK229" s="32">
        <f t="shared" si="238"/>
        <v>1.00802201341413</v>
      </c>
      <c r="AL229" s="32">
        <f t="shared" si="239"/>
        <v>0.126243817448207</v>
      </c>
      <c r="AM229" s="32" t="str">
        <f t="shared" si="219"/>
        <v>1-0,0209460187865882i</v>
      </c>
      <c r="AN229" s="32">
        <f t="shared" si="240"/>
        <v>1.00021934379565</v>
      </c>
      <c r="AO229" s="32">
        <f t="shared" si="241"/>
        <v>-0.0209429563372854</v>
      </c>
      <c r="AP229" s="30" t="str">
        <f t="shared" si="242"/>
        <v>11,8960751871568-46,3317307332071i</v>
      </c>
      <c r="AQ229" s="32">
        <f t="shared" si="243"/>
        <v>33.5948370885091</v>
      </c>
      <c r="AR229" s="31">
        <f t="shared" si="244"/>
        <v>-75.5998739665844</v>
      </c>
      <c r="AS229" t="str">
        <f t="shared" si="220"/>
        <v>-0,000100699300699301</v>
      </c>
      <c r="AT229" t="str">
        <f t="shared" si="221"/>
        <v>0,00181879160421871i</v>
      </c>
      <c r="AU229">
        <f t="shared" si="245"/>
        <v>0.00181879160421871</v>
      </c>
      <c r="AV229">
        <f t="shared" si="246"/>
        <v>1.5707963267949</v>
      </c>
      <c r="AW229" t="str">
        <f t="shared" si="222"/>
        <v>1+0,0931187941416894i</v>
      </c>
      <c r="AX229">
        <f t="shared" si="247"/>
        <v>1.0043261969213</v>
      </c>
      <c r="AY229">
        <f t="shared" si="248"/>
        <v>0.0928510380492673</v>
      </c>
      <c r="AZ229" t="str">
        <f t="shared" si="223"/>
        <v>1+4,45187086034842i</v>
      </c>
      <c r="BA229">
        <f t="shared" si="249"/>
        <v>4.5628011305797</v>
      </c>
      <c r="BB229">
        <f t="shared" si="250"/>
        <v>1.3498391625412</v>
      </c>
      <c r="BC229" s="30" t="str">
        <f t="shared" si="251"/>
        <v>-0,239252287121267+0,077644931063818i</v>
      </c>
      <c r="BD229" s="32">
        <f t="shared" si="252"/>
        <v>-11.9879947334444</v>
      </c>
      <c r="BE229" s="31">
        <f t="shared" si="253"/>
        <v>162.020114431452</v>
      </c>
      <c r="BF229" s="30" t="str">
        <f t="shared" si="254"/>
        <v>0,451102863216791+1,38086184712316i</v>
      </c>
      <c r="BG229" s="68">
        <f t="shared" si="255"/>
        <v>3.24338690536801</v>
      </c>
      <c r="BH229" s="31">
        <f t="shared" si="256"/>
        <v>71.908711063071</v>
      </c>
      <c r="BI229" s="30" t="str">
        <f t="shared" si="209"/>
        <v>0,751260842553425+12,0086424820433i</v>
      </c>
      <c r="BJ229" s="68">
        <f t="shared" si="257"/>
        <v>21.6068423550647</v>
      </c>
      <c r="BK229" s="31">
        <f t="shared" si="210"/>
        <v>86.4202404648681</v>
      </c>
      <c r="BL229" s="32">
        <f t="shared" si="258"/>
        <v>3.24338690536801</v>
      </c>
      <c r="BM229" s="31">
        <f t="shared" si="259"/>
        <v>71.908711063071</v>
      </c>
      <c r="BO229">
        <f t="shared" si="260"/>
        <v>0</v>
      </c>
      <c r="BP229">
        <f t="shared" si="261"/>
        <v>0</v>
      </c>
    </row>
    <row r="230" spans="14:68">
      <c r="N230" s="7">
        <v>12</v>
      </c>
      <c r="O230" s="18">
        <f t="shared" si="262"/>
        <v>1318.25673855641</v>
      </c>
      <c r="P230" s="86" t="str">
        <f t="shared" si="212"/>
        <v>60</v>
      </c>
      <c r="Q230" s="4" t="str">
        <f t="shared" si="213"/>
        <v>1+10,8229257911631i</v>
      </c>
      <c r="R230" s="4">
        <f t="shared" si="224"/>
        <v>10.86902583864</v>
      </c>
      <c r="S230" s="4">
        <f t="shared" si="225"/>
        <v>1.47866146367148</v>
      </c>
      <c r="T230" s="4" t="str">
        <f t="shared" si="214"/>
        <v>1+0,129875109493958i</v>
      </c>
      <c r="U230" s="4">
        <f t="shared" si="226"/>
        <v>1.00839850459333</v>
      </c>
      <c r="V230" s="4">
        <f t="shared" si="227"/>
        <v>0.12915218715421</v>
      </c>
      <c r="W230" t="str">
        <f t="shared" si="215"/>
        <v>1-0,18118737373599i</v>
      </c>
      <c r="X230" s="4">
        <f t="shared" si="228"/>
        <v>1.01628188235418</v>
      </c>
      <c r="Y230" s="4">
        <f t="shared" si="229"/>
        <v>-0.17924280984467</v>
      </c>
      <c r="Z230" t="str">
        <f t="shared" si="216"/>
        <v>0,999985813870786+0,0483448059601103i</v>
      </c>
      <c r="AA230" s="4">
        <f t="shared" si="230"/>
        <v>1.0011537585237</v>
      </c>
      <c r="AB230" s="4">
        <f t="shared" si="231"/>
        <v>0.0483078787725358</v>
      </c>
      <c r="AC230" s="67" t="str">
        <f t="shared" si="232"/>
        <v>-0,035394033475451-5,65064083876812i</v>
      </c>
      <c r="AD230" s="68">
        <f t="shared" si="233"/>
        <v>15.0421244669516</v>
      </c>
      <c r="AE230" s="31">
        <f t="shared" si="234"/>
        <v>-90.3588800412544</v>
      </c>
      <c r="AF230" s="32" t="str">
        <f t="shared" si="235"/>
        <v>326,048966736478</v>
      </c>
      <c r="AG230" s="32" t="str">
        <f t="shared" si="217"/>
        <v>1+6,95759515146202i</v>
      </c>
      <c r="AH230" s="32">
        <f t="shared" si="236"/>
        <v>7.02909171171125</v>
      </c>
      <c r="AI230" s="32">
        <f t="shared" si="237"/>
        <v>1.4280461104787</v>
      </c>
      <c r="AJ230" s="32" t="str">
        <f t="shared" si="218"/>
        <v>1+0,129875109493958i</v>
      </c>
      <c r="AK230" s="32">
        <f t="shared" si="238"/>
        <v>1.00839850459333</v>
      </c>
      <c r="AL230" s="32">
        <f t="shared" si="239"/>
        <v>0.12915218715421</v>
      </c>
      <c r="AM230" s="32" t="str">
        <f t="shared" si="219"/>
        <v>1-0,0214339142404969i</v>
      </c>
      <c r="AN230" s="32">
        <f t="shared" si="240"/>
        <v>1.00022967996339</v>
      </c>
      <c r="AO230" s="32">
        <f t="shared" si="241"/>
        <v>-0.0214306328076429</v>
      </c>
      <c r="AP230" s="30" t="str">
        <f t="shared" si="242"/>
        <v>11,5964166176598-45,3260323693037i</v>
      </c>
      <c r="AQ230" s="32">
        <f t="shared" si="243"/>
        <v>33.402310974264</v>
      </c>
      <c r="AR230" s="31">
        <f t="shared" si="244"/>
        <v>-75.649024653855</v>
      </c>
      <c r="AS230" t="str">
        <f t="shared" si="220"/>
        <v>-0,000100699300699301</v>
      </c>
      <c r="AT230" t="str">
        <f t="shared" si="221"/>
        <v>0,00186115670301609i</v>
      </c>
      <c r="AU230">
        <f t="shared" si="245"/>
        <v>0.00186115670301609</v>
      </c>
      <c r="AV230">
        <f t="shared" si="246"/>
        <v>1.5707963267949</v>
      </c>
      <c r="AW230" t="str">
        <f t="shared" si="222"/>
        <v>1+0,0952878094948255i</v>
      </c>
      <c r="AX230">
        <f t="shared" si="247"/>
        <v>1.00452962456979</v>
      </c>
      <c r="AY230">
        <f t="shared" si="248"/>
        <v>0.0950009734985553</v>
      </c>
      <c r="AZ230" t="str">
        <f t="shared" si="223"/>
        <v>1+4,55556825393346i</v>
      </c>
      <c r="BA230">
        <f t="shared" si="249"/>
        <v>4.66403281680633</v>
      </c>
      <c r="BB230">
        <f t="shared" si="250"/>
        <v>1.35471193824719</v>
      </c>
      <c r="BC230" s="30" t="str">
        <f t="shared" si="251"/>
        <v>-0,239155394803049+0,0768943552059854i</v>
      </c>
      <c r="BD230" s="32">
        <f t="shared" si="252"/>
        <v>-11.9991527534553</v>
      </c>
      <c r="BE230" s="31">
        <f t="shared" si="253"/>
        <v>162.17612168645</v>
      </c>
      <c r="BF230" s="30" t="str">
        <f t="shared" si="254"/>
        <v>0,442967057847177+1,34865963930359i</v>
      </c>
      <c r="BG230" s="68">
        <f t="shared" si="255"/>
        <v>3.04297171349625</v>
      </c>
      <c r="BH230" s="31">
        <f t="shared" si="256"/>
        <v>71.8172416451955</v>
      </c>
      <c r="BI230" s="30" t="str">
        <f t="shared" si="209"/>
        <v>0,711970438586163+11,7316641446515i</v>
      </c>
      <c r="BJ230" s="68">
        <f t="shared" si="257"/>
        <v>21.4031582208087</v>
      </c>
      <c r="BK230" s="31">
        <f t="shared" si="210"/>
        <v>86.5270970325949</v>
      </c>
      <c r="BL230" s="32">
        <f t="shared" si="258"/>
        <v>3.04297171349625</v>
      </c>
      <c r="BM230" s="31">
        <f t="shared" si="259"/>
        <v>71.8172416451955</v>
      </c>
      <c r="BO230">
        <f t="shared" si="260"/>
        <v>0</v>
      </c>
      <c r="BP230">
        <f t="shared" si="261"/>
        <v>0</v>
      </c>
    </row>
    <row r="231" spans="14:68">
      <c r="N231" s="7">
        <v>13</v>
      </c>
      <c r="O231" s="18">
        <f t="shared" si="262"/>
        <v>1348.96288259165</v>
      </c>
      <c r="P231" s="86" t="str">
        <f t="shared" si="212"/>
        <v>60</v>
      </c>
      <c r="Q231" s="4" t="str">
        <f t="shared" si="213"/>
        <v>1+11,0750241180718i</v>
      </c>
      <c r="R231" s="4">
        <f t="shared" si="224"/>
        <v>11.1200791011518</v>
      </c>
      <c r="S231" s="4">
        <f t="shared" si="225"/>
        <v>1.48074725943288</v>
      </c>
      <c r="T231" s="4" t="str">
        <f t="shared" si="214"/>
        <v>1+0,132900289416862i</v>
      </c>
      <c r="U231" s="4">
        <f t="shared" si="226"/>
        <v>1.00879258865591</v>
      </c>
      <c r="V231" s="4">
        <f t="shared" si="227"/>
        <v>0.132126028352645</v>
      </c>
      <c r="W231" t="str">
        <f t="shared" si="215"/>
        <v>1-0,185407769833792i</v>
      </c>
      <c r="X231" s="4">
        <f t="shared" si="228"/>
        <v>1.01704279217481</v>
      </c>
      <c r="Y231" s="4">
        <f t="shared" si="229"/>
        <v>-0.183326013204026</v>
      </c>
      <c r="Z231" t="str">
        <f t="shared" si="216"/>
        <v>0,999985145299113+0,0494709011521535i</v>
      </c>
      <c r="AA231" s="4">
        <f t="shared" si="230"/>
        <v>1.00120810068621</v>
      </c>
      <c r="AB231" s="4">
        <f t="shared" si="231"/>
        <v>0.049431335535862</v>
      </c>
      <c r="AC231" s="67" t="str">
        <f t="shared" si="232"/>
        <v>-0,0585100088765821-5,52886277219669i</v>
      </c>
      <c r="AD231" s="68">
        <f t="shared" si="233"/>
        <v>14.8532025651773</v>
      </c>
      <c r="AE231" s="31">
        <f t="shared" si="234"/>
        <v>-90.6063184360848</v>
      </c>
      <c r="AF231" s="32" t="str">
        <f t="shared" si="235"/>
        <v>326,048966736478</v>
      </c>
      <c r="AG231" s="32" t="str">
        <f t="shared" si="217"/>
        <v>1+7,11965836161761i</v>
      </c>
      <c r="AH231" s="32">
        <f t="shared" si="236"/>
        <v>7.18954346159417</v>
      </c>
      <c r="AI231" s="32">
        <f t="shared" si="237"/>
        <v>1.43125300487217</v>
      </c>
      <c r="AJ231" s="32" t="str">
        <f t="shared" si="218"/>
        <v>1+0,132900289416862i</v>
      </c>
      <c r="AK231" s="32">
        <f t="shared" si="238"/>
        <v>1.00879258865591</v>
      </c>
      <c r="AL231" s="32">
        <f t="shared" si="239"/>
        <v>0.132126028352645</v>
      </c>
      <c r="AM231" s="32" t="str">
        <f t="shared" si="219"/>
        <v>1-0,021933174239447i</v>
      </c>
      <c r="AN231" s="32">
        <f t="shared" si="240"/>
        <v>1.00024050314523</v>
      </c>
      <c r="AO231" s="32">
        <f t="shared" si="241"/>
        <v>-0.0219296581664544</v>
      </c>
      <c r="AP231" s="30" t="str">
        <f t="shared" si="242"/>
        <v>11,3097107677304-44,3405635896247i</v>
      </c>
      <c r="AQ231" s="32">
        <f t="shared" si="243"/>
        <v>33.2097566877781</v>
      </c>
      <c r="AR231" s="31">
        <f t="shared" si="244"/>
        <v>-75.6909696652622</v>
      </c>
      <c r="AS231" t="str">
        <f t="shared" si="220"/>
        <v>-0,000100699300699301</v>
      </c>
      <c r="AT231" t="str">
        <f t="shared" si="221"/>
        <v>0,00190450861173271i</v>
      </c>
      <c r="AU231">
        <f t="shared" si="245"/>
        <v>0.00190450861173271</v>
      </c>
      <c r="AV231">
        <f t="shared" si="246"/>
        <v>1.5707963267949</v>
      </c>
      <c r="AW231" t="str">
        <f t="shared" si="222"/>
        <v>1+0,097507347705838i</v>
      </c>
      <c r="AX231">
        <f t="shared" si="247"/>
        <v>1.00474259532311</v>
      </c>
      <c r="AY231">
        <f t="shared" si="248"/>
        <v>0.0972000756978751</v>
      </c>
      <c r="AZ231" t="str">
        <f t="shared" si="223"/>
        <v>1+4,66168107010676i</v>
      </c>
      <c r="BA231">
        <f t="shared" si="249"/>
        <v>4.76773220718107</v>
      </c>
      <c r="BB231">
        <f t="shared" si="250"/>
        <v>1.35948388992561</v>
      </c>
      <c r="BC231" s="30" t="str">
        <f t="shared" si="251"/>
        <v>-0,23905402016879+0,0761836874772232i</v>
      </c>
      <c r="BD231" s="32">
        <f t="shared" si="252"/>
        <v>-12.009988926423</v>
      </c>
      <c r="BE231" s="31">
        <f t="shared" si="253"/>
        <v>162.323535102925</v>
      </c>
      <c r="BF231" s="30" t="str">
        <f t="shared" si="254"/>
        <v>0,435196206383545+1,31723936442464i</v>
      </c>
      <c r="BG231" s="68">
        <f t="shared" si="255"/>
        <v>2.84321363875431</v>
      </c>
      <c r="BH231" s="31">
        <f t="shared" si="256"/>
        <v>71.7172166668399</v>
      </c>
      <c r="BI231" s="30" t="str">
        <f t="shared" si="209"/>
        <v>0,674395813103706+11,4614054532362i</v>
      </c>
      <c r="BJ231" s="68">
        <f t="shared" si="257"/>
        <v>21.1997677613551</v>
      </c>
      <c r="BK231" s="31">
        <f t="shared" si="210"/>
        <v>86.6325654376625</v>
      </c>
      <c r="BL231" s="32">
        <f t="shared" si="258"/>
        <v>2.84321363875431</v>
      </c>
      <c r="BM231" s="31">
        <f t="shared" si="259"/>
        <v>71.7172166668399</v>
      </c>
      <c r="BO231">
        <f t="shared" si="260"/>
        <v>0</v>
      </c>
      <c r="BP231">
        <f t="shared" si="261"/>
        <v>0</v>
      </c>
    </row>
    <row r="232" spans="14:68">
      <c r="N232" s="7">
        <v>14</v>
      </c>
      <c r="O232" s="18">
        <f t="shared" si="262"/>
        <v>1380.38426460289</v>
      </c>
      <c r="P232" s="86" t="str">
        <f t="shared" si="212"/>
        <v>60</v>
      </c>
      <c r="Q232" s="4" t="str">
        <f t="shared" si="213"/>
        <v>1+11,3329945693633i</v>
      </c>
      <c r="R232" s="4">
        <f t="shared" si="224"/>
        <v>11.3770279910536</v>
      </c>
      <c r="S232" s="4">
        <f t="shared" si="225"/>
        <v>1.48278633612882</v>
      </c>
      <c r="T232" s="4" t="str">
        <f t="shared" si="214"/>
        <v>1+0,13599593483236i</v>
      </c>
      <c r="U232" s="4">
        <f t="shared" si="226"/>
        <v>1.00920508039294</v>
      </c>
      <c r="V232" s="4">
        <f t="shared" si="227"/>
        <v>0.135166707303096</v>
      </c>
      <c r="W232" t="str">
        <f t="shared" si="215"/>
        <v>1-0,189726471585323i</v>
      </c>
      <c r="X232" s="4">
        <f t="shared" si="228"/>
        <v>1.01783895289</v>
      </c>
      <c r="Y232" s="4">
        <f t="shared" si="229"/>
        <v>-0.187497935193165</v>
      </c>
      <c r="Z232" t="str">
        <f t="shared" si="216"/>
        <v>0,999984445218629+0,0506232264708129i</v>
      </c>
      <c r="AA232" s="4">
        <f t="shared" si="230"/>
        <v>1.00126500075531</v>
      </c>
      <c r="AB232" s="4">
        <f t="shared" si="231"/>
        <v>0.05058083404133</v>
      </c>
      <c r="AC232" s="67" t="str">
        <f t="shared" si="232"/>
        <v>-0,0806236480929118-5,40983051896578i</v>
      </c>
      <c r="AD232" s="68">
        <f t="shared" si="233"/>
        <v>14.6646376728095</v>
      </c>
      <c r="AE232" s="31">
        <f t="shared" si="234"/>
        <v>-90.8538257895061</v>
      </c>
      <c r="AF232" s="32" t="str">
        <f t="shared" si="235"/>
        <v>326,048966736478</v>
      </c>
      <c r="AG232" s="32" t="str">
        <f t="shared" si="217"/>
        <v>1+7,28549650887642i</v>
      </c>
      <c r="AH232" s="32">
        <f t="shared" si="236"/>
        <v>7.35380577530101</v>
      </c>
      <c r="AI232" s="32">
        <f t="shared" si="237"/>
        <v>1.4343896954588</v>
      </c>
      <c r="AJ232" s="32" t="str">
        <f t="shared" si="218"/>
        <v>1+0,13599593483236i</v>
      </c>
      <c r="AK232" s="32">
        <f t="shared" si="238"/>
        <v>1.00920508039294</v>
      </c>
      <c r="AL232" s="32">
        <f t="shared" si="239"/>
        <v>0.135166707303096</v>
      </c>
      <c r="AM232" s="32" t="str">
        <f t="shared" si="219"/>
        <v>1-0,022444063497699i</v>
      </c>
      <c r="AN232" s="32">
        <f t="shared" si="240"/>
        <v>1.00025183628239</v>
      </c>
      <c r="AO232" s="32">
        <f t="shared" si="241"/>
        <v>-0.0224402960088378</v>
      </c>
      <c r="AP232" s="30" t="str">
        <f t="shared" si="242"/>
        <v>11,035420332717-43,3750459883335i</v>
      </c>
      <c r="AQ232" s="32">
        <f t="shared" si="243"/>
        <v>33.017189167255</v>
      </c>
      <c r="AR232" s="31">
        <f t="shared" si="244"/>
        <v>-75.725728120028</v>
      </c>
      <c r="AS232" t="str">
        <f t="shared" si="220"/>
        <v>-0,000100699300699301</v>
      </c>
      <c r="AT232" t="str">
        <f t="shared" si="221"/>
        <v>0,00194887031612444i</v>
      </c>
      <c r="AU232">
        <f t="shared" si="245"/>
        <v>0.00194887031612444</v>
      </c>
      <c r="AV232">
        <f t="shared" si="246"/>
        <v>1.5707963267949</v>
      </c>
      <c r="AW232" t="str">
        <f t="shared" si="222"/>
        <v>1+0,0997785856032675i</v>
      </c>
      <c r="AX232">
        <f t="shared" si="247"/>
        <v>1.00496555470573</v>
      </c>
      <c r="AY232">
        <f t="shared" si="248"/>
        <v>0.0994494255137498</v>
      </c>
      <c r="AZ232" t="str">
        <f t="shared" si="223"/>
        <v>1+4,77026557128812i</v>
      </c>
      <c r="BA232">
        <f t="shared" si="249"/>
        <v>4.87395461823526</v>
      </c>
      <c r="BB232">
        <f t="shared" si="250"/>
        <v>1.36415667801118</v>
      </c>
      <c r="BC232" s="30" t="str">
        <f t="shared" si="251"/>
        <v>-0,238947959967894+0,0755124905779742i</v>
      </c>
      <c r="BD232" s="32">
        <f t="shared" si="252"/>
        <v>-12.0205236310756</v>
      </c>
      <c r="BE232" s="31">
        <f t="shared" si="253"/>
        <v>162.462387887689</v>
      </c>
      <c r="BF232" s="30" t="str">
        <f t="shared" si="254"/>
        <v>0,427774632328811+1,28657987381195i</v>
      </c>
      <c r="BG232" s="68">
        <f t="shared" si="255"/>
        <v>2.64411404173395</v>
      </c>
      <c r="BH232" s="31">
        <f t="shared" si="256"/>
        <v>71.6085620981831</v>
      </c>
      <c r="BI232" s="30" t="str">
        <f t="shared" si="209"/>
        <v>0,638466575622286+11,1976908263242i</v>
      </c>
      <c r="BJ232" s="68">
        <f t="shared" si="257"/>
        <v>20.9966655361795</v>
      </c>
      <c r="BK232" s="31">
        <f t="shared" si="210"/>
        <v>86.7366597676612</v>
      </c>
      <c r="BL232" s="32">
        <f t="shared" si="258"/>
        <v>2.64411404173395</v>
      </c>
      <c r="BM232" s="31">
        <f t="shared" si="259"/>
        <v>71.6085620981831</v>
      </c>
      <c r="BO232">
        <f t="shared" si="260"/>
        <v>0</v>
      </c>
      <c r="BP232">
        <f t="shared" si="261"/>
        <v>0</v>
      </c>
    </row>
    <row r="233" spans="14:68">
      <c r="N233" s="7">
        <v>15</v>
      </c>
      <c r="O233" s="18">
        <f t="shared" si="262"/>
        <v>1412.53754462275</v>
      </c>
      <c r="P233" s="86" t="str">
        <f t="shared" si="212"/>
        <v>60</v>
      </c>
      <c r="Q233" s="4" t="str">
        <f t="shared" si="213"/>
        <v>1+11,5969739243852i</v>
      </c>
      <c r="R233" s="4">
        <f t="shared" si="224"/>
        <v>11.6400087715977</v>
      </c>
      <c r="S233" s="4">
        <f t="shared" si="225"/>
        <v>1.48477970704207</v>
      </c>
      <c r="T233" s="4" t="str">
        <f t="shared" si="214"/>
        <v>1+0,139163687092623i</v>
      </c>
      <c r="U233" s="4">
        <f t="shared" si="226"/>
        <v>1.00963683164057</v>
      </c>
      <c r="V233" s="4">
        <f t="shared" si="227"/>
        <v>0.138275611188648</v>
      </c>
      <c r="W233" t="str">
        <f t="shared" si="215"/>
        <v>1-0,194145768823414i</v>
      </c>
      <c r="X233" s="4">
        <f t="shared" si="228"/>
        <v>1.01867196857086</v>
      </c>
      <c r="Y233" s="4">
        <f t="shared" si="229"/>
        <v>-0.191760206641032</v>
      </c>
      <c r="Z233" t="str">
        <f t="shared" si="216"/>
        <v>0,999983712144368+0,051802392894224i</v>
      </c>
      <c r="AA233" s="4">
        <f t="shared" si="230"/>
        <v>1.00132457897707</v>
      </c>
      <c r="AB233" s="4">
        <f t="shared" si="231"/>
        <v>0.0517569718321963</v>
      </c>
      <c r="AC233" s="67" t="str">
        <f t="shared" si="232"/>
        <v>-0,101779665074311-5,293493019409i</v>
      </c>
      <c r="AD233" s="68">
        <f t="shared" si="233"/>
        <v>14.4764521393809</v>
      </c>
      <c r="AE233" s="31">
        <f t="shared" si="234"/>
        <v>-91.1015083549299</v>
      </c>
      <c r="AF233" s="32" t="str">
        <f t="shared" si="235"/>
        <v>326,048966736478</v>
      </c>
      <c r="AG233" s="32" t="str">
        <f t="shared" si="217"/>
        <v>1+7,45519752281908i</v>
      </c>
      <c r="AH233" s="32">
        <f t="shared" si="236"/>
        <v>7.52196584040686</v>
      </c>
      <c r="AI233" s="32">
        <f t="shared" si="237"/>
        <v>1.43745759833292</v>
      </c>
      <c r="AJ233" s="32" t="str">
        <f t="shared" si="218"/>
        <v>1+0,139163687092623i</v>
      </c>
      <c r="AK233" s="32">
        <f t="shared" si="238"/>
        <v>1.00963683164057</v>
      </c>
      <c r="AL233" s="32">
        <f t="shared" si="239"/>
        <v>0.138275611188648</v>
      </c>
      <c r="AM233" s="32" t="str">
        <f t="shared" si="219"/>
        <v>1-0,0229668528954995i</v>
      </c>
      <c r="AN233" s="32">
        <f t="shared" si="240"/>
        <v>1.00026370339622</v>
      </c>
      <c r="AO233" s="32">
        <f t="shared" si="241"/>
        <v>-0.0229628160159305</v>
      </c>
      <c r="AP233" s="30" t="str">
        <f t="shared" si="242"/>
        <v>10,773028340798-42,429196471555i</v>
      </c>
      <c r="AQ233" s="32">
        <f t="shared" si="243"/>
        <v>32.8246233309076</v>
      </c>
      <c r="AR233" s="31">
        <f t="shared" si="244"/>
        <v>-75.7533171262348</v>
      </c>
      <c r="AS233" t="str">
        <f t="shared" si="220"/>
        <v>-0,000100699300699301</v>
      </c>
      <c r="AT233" t="str">
        <f t="shared" si="221"/>
        <v>0,0019942653373541i</v>
      </c>
      <c r="AU233">
        <f t="shared" si="245"/>
        <v>0.0019942653373541</v>
      </c>
      <c r="AV233">
        <f t="shared" si="246"/>
        <v>1.5707963267949</v>
      </c>
      <c r="AW233" t="str">
        <f t="shared" si="222"/>
        <v>1+0,102102727427508i</v>
      </c>
      <c r="AX233">
        <f t="shared" si="247"/>
        <v>1.00519896883559</v>
      </c>
      <c r="AY233">
        <f t="shared" si="248"/>
        <v>0.101750124485197</v>
      </c>
      <c r="AZ233" t="str">
        <f t="shared" si="223"/>
        <v>1+4,88137933041725i</v>
      </c>
      <c r="BA233">
        <f t="shared" si="249"/>
        <v>4.98275668354624</v>
      </c>
      <c r="BB233">
        <f t="shared" si="250"/>
        <v>1.36873196345757</v>
      </c>
      <c r="BC233" s="30" t="str">
        <f t="shared" si="251"/>
        <v>-0,238837002125012+0,0748803439512549i</v>
      </c>
      <c r="BD233" s="32">
        <f t="shared" si="252"/>
        <v>-12.0307768040357</v>
      </c>
      <c r="BE233" s="31">
        <f t="shared" si="253"/>
        <v>162.59271209284</v>
      </c>
      <c r="BF233" s="30" t="str">
        <f t="shared" si="254"/>
        <v>0,420687328080549+1,25666070719732i</v>
      </c>
      <c r="BG233" s="68">
        <f t="shared" si="255"/>
        <v>2.44567533534532</v>
      </c>
      <c r="BH233" s="31">
        <f t="shared" si="256"/>
        <v>71.4912037379106</v>
      </c>
      <c r="BI233" s="30" t="str">
        <f t="shared" si="209"/>
        <v>0,604115032641423+10,9403501553949i</v>
      </c>
      <c r="BJ233" s="68">
        <f t="shared" si="257"/>
        <v>20.7938465268719</v>
      </c>
      <c r="BK233" s="31">
        <f t="shared" si="210"/>
        <v>86.8393949666056</v>
      </c>
      <c r="BL233" s="32">
        <f t="shared" si="258"/>
        <v>2.44567533534532</v>
      </c>
      <c r="BM233" s="31">
        <f t="shared" si="259"/>
        <v>71.4912037379106</v>
      </c>
      <c r="BO233">
        <f t="shared" si="260"/>
        <v>0</v>
      </c>
      <c r="BP233">
        <f t="shared" si="261"/>
        <v>0</v>
      </c>
    </row>
    <row r="234" spans="14:68">
      <c r="N234" s="7">
        <v>16</v>
      </c>
      <c r="O234" s="18">
        <f t="shared" si="262"/>
        <v>1445.43977074593</v>
      </c>
      <c r="P234" s="86" t="str">
        <f t="shared" si="212"/>
        <v>60</v>
      </c>
      <c r="Q234" s="4" t="str">
        <f t="shared" si="213"/>
        <v>1+11,8671021484861i</v>
      </c>
      <c r="R234" s="4">
        <f t="shared" si="224"/>
        <v>11.9091609025407</v>
      </c>
      <c r="S234" s="4">
        <f t="shared" si="225"/>
        <v>1.48672836568342</v>
      </c>
      <c r="T234" s="4" t="str">
        <f t="shared" si="214"/>
        <v>1+0,142405225781833i</v>
      </c>
      <c r="U234" s="4">
        <f t="shared" si="226"/>
        <v>1.01008873289923</v>
      </c>
      <c r="V234" s="4">
        <f t="shared" si="227"/>
        <v>0.141454147877324</v>
      </c>
      <c r="W234" t="str">
        <f t="shared" si="215"/>
        <v>1-0,19866800471796i</v>
      </c>
      <c r="X234" s="4">
        <f t="shared" si="228"/>
        <v>1.01954351358763</v>
      </c>
      <c r="Y234" s="4">
        <f t="shared" si="229"/>
        <v>-0.196114467700755</v>
      </c>
      <c r="Z234" t="str">
        <f t="shared" si="216"/>
        <v>0,999982944521381+0,0530090256320341i</v>
      </c>
      <c r="AA234" s="4">
        <f t="shared" si="230"/>
        <v>1.00138696123532</v>
      </c>
      <c r="AB234" s="4">
        <f t="shared" si="231"/>
        <v>0.0529603597270288</v>
      </c>
      <c r="AC234" s="67" t="str">
        <f t="shared" si="232"/>
        <v>-0,122020931130122-5,17979984769686i</v>
      </c>
      <c r="AD234" s="68">
        <f t="shared" si="233"/>
        <v>14.2886689574249</v>
      </c>
      <c r="AE234" s="31">
        <f t="shared" si="234"/>
        <v>-91.3494713626135</v>
      </c>
      <c r="AF234" s="32" t="str">
        <f t="shared" si="235"/>
        <v>326,048966736478</v>
      </c>
      <c r="AG234" s="32" t="str">
        <f t="shared" si="217"/>
        <v>1+7,62885138116965i</v>
      </c>
      <c r="AH234" s="32">
        <f t="shared" si="236"/>
        <v>7.69411290507061</v>
      </c>
      <c r="AI234" s="32">
        <f t="shared" si="237"/>
        <v>1.44045810901391</v>
      </c>
      <c r="AJ234" s="32" t="str">
        <f t="shared" si="218"/>
        <v>1+0,142405225781833i</v>
      </c>
      <c r="AK234" s="32">
        <f t="shared" si="238"/>
        <v>1.01008873289923</v>
      </c>
      <c r="AL234" s="32">
        <f t="shared" si="239"/>
        <v>0.141454147877324</v>
      </c>
      <c r="AM234" s="32" t="str">
        <f t="shared" si="219"/>
        <v>1-0,0235018196227077i</v>
      </c>
      <c r="AN234" s="32">
        <f t="shared" si="240"/>
        <v>1.000276129639</v>
      </c>
      <c r="AO234" s="32">
        <f t="shared" si="241"/>
        <v>-0.0234974940928058</v>
      </c>
      <c r="AP234" s="30" t="str">
        <f t="shared" si="242"/>
        <v>10,5220375555984-41,5027280191154i</v>
      </c>
      <c r="AQ234" s="32">
        <f t="shared" si="243"/>
        <v>32.6320741018435</v>
      </c>
      <c r="AR234" s="31">
        <f t="shared" si="244"/>
        <v>-75.7737517845539</v>
      </c>
      <c r="AS234" t="str">
        <f t="shared" si="220"/>
        <v>-0,000100699300699301</v>
      </c>
      <c r="AT234" t="str">
        <f t="shared" si="221"/>
        <v>0,00204071774446288i</v>
      </c>
      <c r="AU234">
        <f t="shared" si="245"/>
        <v>0.00204071774446288</v>
      </c>
      <c r="AV234">
        <f t="shared" si="246"/>
        <v>1.5707963267949</v>
      </c>
      <c r="AW234" t="str">
        <f t="shared" si="222"/>
        <v>1+0,104481005469322i</v>
      </c>
      <c r="AX234">
        <f t="shared" si="247"/>
        <v>1.00544332535647</v>
      </c>
      <c r="AY234">
        <f t="shared" si="248"/>
        <v>0.104103294995109</v>
      </c>
      <c r="AZ234" t="str">
        <f t="shared" si="223"/>
        <v>1+4,99508126148012i</v>
      </c>
      <c r="BA234">
        <f t="shared" si="249"/>
        <v>5.09419638498457</v>
      </c>
      <c r="BB234">
        <f t="shared" si="250"/>
        <v>1.37321140557746</v>
      </c>
      <c r="BC234" s="30" t="str">
        <f t="shared" si="251"/>
        <v>-0,238720925394406+0,0742868432771557i</v>
      </c>
      <c r="BD234" s="32">
        <f t="shared" si="252"/>
        <v>-12.0407679643886</v>
      </c>
      <c r="BE234" s="31">
        <f t="shared" si="253"/>
        <v>162.714538482191</v>
      </c>
      <c r="BF234" s="30" t="str">
        <f t="shared" si="254"/>
        <v>0,413919929089761+1,2274620632126i</v>
      </c>
      <c r="BG234" s="68">
        <f t="shared" si="255"/>
        <v>2.24790099303624</v>
      </c>
      <c r="BH234" s="31">
        <f t="shared" si="256"/>
        <v>71.3650671195776</v>
      </c>
      <c r="BI234" s="30" t="str">
        <f t="shared" si="209"/>
        <v>0,571276109623301+10,6892185939647i</v>
      </c>
      <c r="BJ234" s="68">
        <f t="shared" si="257"/>
        <v>20.5913061374549</v>
      </c>
      <c r="BK234" s="31">
        <f t="shared" si="210"/>
        <v>86.9407866976372</v>
      </c>
      <c r="BL234" s="32">
        <f t="shared" si="258"/>
        <v>2.24790099303624</v>
      </c>
      <c r="BM234" s="31">
        <f t="shared" si="259"/>
        <v>71.3650671195776</v>
      </c>
      <c r="BO234">
        <f t="shared" si="260"/>
        <v>0</v>
      </c>
      <c r="BP234">
        <f t="shared" si="261"/>
        <v>0</v>
      </c>
    </row>
    <row r="235" spans="14:68">
      <c r="N235" s="7">
        <v>17</v>
      </c>
      <c r="O235" s="18">
        <f t="shared" si="262"/>
        <v>1479.10838816821</v>
      </c>
      <c r="P235" s="86" t="str">
        <f t="shared" si="212"/>
        <v>60</v>
      </c>
      <c r="Q235" s="4" t="str">
        <f t="shared" si="213"/>
        <v>1+12,1435224672257i</v>
      </c>
      <c r="R235" s="4">
        <f t="shared" si="224"/>
        <v>12.1846271141966</v>
      </c>
      <c r="S235" s="4">
        <f t="shared" si="225"/>
        <v>1.48863328602791</v>
      </c>
      <c r="T235" s="4" t="str">
        <f t="shared" si="214"/>
        <v>1+0,145722269606709i</v>
      </c>
      <c r="U235" s="4">
        <f t="shared" si="226"/>
        <v>1.01056171501761</v>
      </c>
      <c r="V235" s="4">
        <f t="shared" si="227"/>
        <v>0.144703745632267</v>
      </c>
      <c r="W235" t="str">
        <f t="shared" si="215"/>
        <v>1-0,203295577018288i</v>
      </c>
      <c r="X235" s="4">
        <f t="shared" si="228"/>
        <v>1.02045533544355</v>
      </c>
      <c r="Y235" s="4">
        <f t="shared" si="229"/>
        <v>-0.200562366302403</v>
      </c>
      <c r="Z235" t="str">
        <f t="shared" si="216"/>
        <v>0,999982140721437+0,0542437644568913i</v>
      </c>
      <c r="AA235" s="4">
        <f t="shared" si="230"/>
        <v>1.00145227931454</v>
      </c>
      <c r="AB235" s="4">
        <f t="shared" si="231"/>
        <v>0.0541916220833743</v>
      </c>
      <c r="AC235" s="67" t="str">
        <f t="shared" si="232"/>
        <v>-0,141388549494915-5,06870123523658i</v>
      </c>
      <c r="AD235" s="68">
        <f t="shared" si="233"/>
        <v>14.10131179547</v>
      </c>
      <c r="AE235" s="31">
        <f t="shared" si="234"/>
        <v>-91.5978189762566</v>
      </c>
      <c r="AF235" s="32" t="str">
        <f t="shared" si="235"/>
        <v>326,048966736478</v>
      </c>
      <c r="AG235" s="32" t="str">
        <f t="shared" si="217"/>
        <v>1+7,80655015750225i</v>
      </c>
      <c r="AH235" s="32">
        <f t="shared" si="236"/>
        <v>7.87033832573914</v>
      </c>
      <c r="AI235" s="32">
        <f t="shared" si="237"/>
        <v>1.4433926021875</v>
      </c>
      <c r="AJ235" s="32" t="str">
        <f t="shared" si="218"/>
        <v>1+0,145722269606709i</v>
      </c>
      <c r="AK235" s="32">
        <f t="shared" si="238"/>
        <v>1.01056171501761</v>
      </c>
      <c r="AL235" s="32">
        <f t="shared" si="239"/>
        <v>0.144703745632267</v>
      </c>
      <c r="AM235" s="32" t="str">
        <f t="shared" si="219"/>
        <v>1-0,0240492473257631i</v>
      </c>
      <c r="AN235" s="32">
        <f t="shared" si="240"/>
        <v>1.00028914134711</v>
      </c>
      <c r="AO235" s="32">
        <f t="shared" si="241"/>
        <v>-0.0240446125093232</v>
      </c>
      <c r="AP235" s="30" t="str">
        <f t="shared" si="242"/>
        <v>10,2819698803342-40,5953503943495i</v>
      </c>
      <c r="AQ235" s="32">
        <f t="shared" si="243"/>
        <v>32.439556432974</v>
      </c>
      <c r="AR235" s="31">
        <f t="shared" si="244"/>
        <v>-75.7870451980972</v>
      </c>
      <c r="AS235" t="str">
        <f t="shared" si="220"/>
        <v>-0,000100699300699301</v>
      </c>
      <c r="AT235" t="str">
        <f t="shared" si="221"/>
        <v>0,00208825216713185i</v>
      </c>
      <c r="AU235">
        <f t="shared" si="245"/>
        <v>0.00208825216713185</v>
      </c>
      <c r="AV235">
        <f t="shared" si="246"/>
        <v>1.5707963267949</v>
      </c>
      <c r="AW235" t="str">
        <f t="shared" si="222"/>
        <v>1+0,106914680723204i</v>
      </c>
      <c r="AX235">
        <f t="shared" si="247"/>
        <v>1.00569913441056</v>
      </c>
      <c r="AY235">
        <f t="shared" si="248"/>
        <v>0.10651008042485</v>
      </c>
      <c r="AZ235" t="str">
        <f t="shared" si="223"/>
        <v>1+5,11143165074551i</v>
      </c>
      <c r="BA235">
        <f t="shared" si="249"/>
        <v>5.20833308460999</v>
      </c>
      <c r="BB235">
        <f t="shared" si="250"/>
        <v>1.37759666003504</v>
      </c>
      <c r="BC235" s="30" t="str">
        <f t="shared" si="251"/>
        <v>-0,238599499004451+0,0737315999577371i</v>
      </c>
      <c r="BD235" s="32">
        <f t="shared" si="252"/>
        <v>-12.0505162385669</v>
      </c>
      <c r="BE235" s="31">
        <f t="shared" si="253"/>
        <v>162.827896407383</v>
      </c>
      <c r="BF235" s="30" t="str">
        <f t="shared" si="254"/>
        <v>0,407458688856204+1,19896477136073i</v>
      </c>
      <c r="BG235" s="68">
        <f t="shared" si="255"/>
        <v>2.05079555690311</v>
      </c>
      <c r="BH235" s="31">
        <f t="shared" si="256"/>
        <v>71.2300774311266</v>
      </c>
      <c r="BI235" s="30" t="str">
        <f t="shared" si="209"/>
        <v>0,539887273193748+10,4441363559962i</v>
      </c>
      <c r="BJ235" s="68">
        <f t="shared" si="257"/>
        <v>20.389040194407</v>
      </c>
      <c r="BK235" s="31">
        <f t="shared" si="210"/>
        <v>87.040851209286</v>
      </c>
      <c r="BL235" s="32">
        <f t="shared" si="258"/>
        <v>2.05079555690311</v>
      </c>
      <c r="BM235" s="31">
        <f t="shared" si="259"/>
        <v>71.2300774311266</v>
      </c>
      <c r="BO235">
        <f t="shared" si="260"/>
        <v>0</v>
      </c>
      <c r="BP235">
        <f t="shared" si="261"/>
        <v>0</v>
      </c>
    </row>
    <row r="236" spans="14:68">
      <c r="N236" s="7">
        <v>18</v>
      </c>
      <c r="O236" s="18">
        <f t="shared" si="262"/>
        <v>1513.56124843621</v>
      </c>
      <c r="P236" s="86" t="str">
        <f t="shared" si="212"/>
        <v>60</v>
      </c>
      <c r="Q236" s="4" t="str">
        <f t="shared" si="213"/>
        <v>1+12,426381442316i</v>
      </c>
      <c r="R236" s="4">
        <f t="shared" si="224"/>
        <v>12.466553483218</v>
      </c>
      <c r="S236" s="4">
        <f t="shared" si="225"/>
        <v>1.49049542275936</v>
      </c>
      <c r="T236" s="4" t="str">
        <f t="shared" si="214"/>
        <v>1+0,149116577307792i</v>
      </c>
      <c r="U236" s="4">
        <f t="shared" si="226"/>
        <v>1.01105675094328</v>
      </c>
      <c r="V236" s="4">
        <f t="shared" si="227"/>
        <v>0.148025852766969</v>
      </c>
      <c r="W236" t="str">
        <f t="shared" si="215"/>
        <v>1-0,208030939324486i</v>
      </c>
      <c r="X236" s="4">
        <f t="shared" si="228"/>
        <v>1.02140925770047</v>
      </c>
      <c r="Y236" s="4">
        <f t="shared" si="229"/>
        <v>-0.205105556475192</v>
      </c>
      <c r="Z236" t="str">
        <f t="shared" si="216"/>
        <v>0,999981299039569+0,0555072640436647i</v>
      </c>
      <c r="AA236" s="4">
        <f t="shared" si="230"/>
        <v>1.00152067117483</v>
      </c>
      <c r="AB236" s="4">
        <f t="shared" si="231"/>
        <v>0.0554513970643755</v>
      </c>
      <c r="AC236" s="67" t="str">
        <f t="shared" si="232"/>
        <v>-0,159921927525345-4,9601480912503i</v>
      </c>
      <c r="AD236" s="68">
        <f t="shared" si="233"/>
        <v>13.9144050312056</v>
      </c>
      <c r="AE236" s="31">
        <f t="shared" si="234"/>
        <v>-91.8466542459099</v>
      </c>
      <c r="AF236" s="32" t="str">
        <f t="shared" si="235"/>
        <v>326,048966736478</v>
      </c>
      <c r="AG236" s="32" t="str">
        <f t="shared" si="217"/>
        <v>1+7,98838807006027i</v>
      </c>
      <c r="AH236" s="32">
        <f t="shared" si="236"/>
        <v>8.05073561594723</v>
      </c>
      <c r="AI236" s="32">
        <f t="shared" si="237"/>
        <v>1.44626243149614</v>
      </c>
      <c r="AJ236" s="32" t="str">
        <f t="shared" si="218"/>
        <v>1+0,149116577307792i</v>
      </c>
      <c r="AK236" s="32">
        <f t="shared" si="238"/>
        <v>1.01105675094328</v>
      </c>
      <c r="AL236" s="32">
        <f t="shared" si="239"/>
        <v>0.148025852766969</v>
      </c>
      <c r="AM236" s="32" t="str">
        <f t="shared" si="219"/>
        <v>1-0,02460942625808i</v>
      </c>
      <c r="AN236" s="32">
        <f t="shared" si="240"/>
        <v>1.00030276609672</v>
      </c>
      <c r="AO236" s="32">
        <f t="shared" si="241"/>
        <v>-0.0246044600439694</v>
      </c>
      <c r="AP236" s="30" t="str">
        <f t="shared" si="242"/>
        <v>10,052365765327-39,7067708045591i</v>
      </c>
      <c r="AQ236" s="32">
        <f t="shared" si="243"/>
        <v>32.2470853319436</v>
      </c>
      <c r="AR236" s="31">
        <f t="shared" si="244"/>
        <v>-75.7932084884025</v>
      </c>
      <c r="AS236" t="str">
        <f t="shared" si="220"/>
        <v>-0,000100699300699301</v>
      </c>
      <c r="AT236" t="str">
        <f t="shared" si="221"/>
        <v>0,00213689380874112i</v>
      </c>
      <c r="AU236">
        <f t="shared" si="245"/>
        <v>0.00213689380874112</v>
      </c>
      <c r="AV236">
        <f t="shared" si="246"/>
        <v>1.5707963267949</v>
      </c>
      <c r="AW236" t="str">
        <f t="shared" si="222"/>
        <v>1+0,109405043555989i</v>
      </c>
      <c r="AX236">
        <f t="shared" si="247"/>
        <v>1.005966929653</v>
      </c>
      <c r="AY236">
        <f t="shared" si="248"/>
        <v>0.108971645290398</v>
      </c>
      <c r="AZ236" t="str">
        <f t="shared" si="223"/>
        <v>1+5,23049218872993i</v>
      </c>
      <c r="BA236">
        <f t="shared" si="249"/>
        <v>5.3252275572378</v>
      </c>
      <c r="BB236">
        <f t="shared" si="250"/>
        <v>1.38188937698402</v>
      </c>
      <c r="BC236" s="30" t="str">
        <f t="shared" si="251"/>
        <v>-0,238472482292371+0,0732142405909647i</v>
      </c>
      <c r="BD236" s="32">
        <f t="shared" si="252"/>
        <v>-12.0600403855027</v>
      </c>
      <c r="BE236" s="31">
        <f t="shared" si="253"/>
        <v>162.93281369341</v>
      </c>
      <c r="BF236" s="30" t="str">
        <f t="shared" si="254"/>
        <v>0,401290454749563+1,17115026538061i</v>
      </c>
      <c r="BG236" s="68">
        <f t="shared" si="255"/>
        <v>1.85436464570286</v>
      </c>
      <c r="BH236" s="31">
        <f t="shared" si="256"/>
        <v>71.0861594475005</v>
      </c>
      <c r="BI236" s="30" t="str">
        <f t="shared" si="209"/>
        <v>0,509888453806903+10,2049485232285i</v>
      </c>
      <c r="BJ236" s="68">
        <f t="shared" si="257"/>
        <v>20.1870449464409</v>
      </c>
      <c r="BK236" s="31">
        <f t="shared" si="210"/>
        <v>87.139605205008</v>
      </c>
      <c r="BL236" s="32">
        <f t="shared" si="258"/>
        <v>1.85436464570286</v>
      </c>
      <c r="BM236" s="31">
        <f t="shared" si="259"/>
        <v>71.0861594475005</v>
      </c>
      <c r="BO236">
        <f t="shared" si="260"/>
        <v>0</v>
      </c>
      <c r="BP236">
        <f t="shared" si="261"/>
        <v>0</v>
      </c>
    </row>
    <row r="237" spans="14:68">
      <c r="N237" s="7">
        <v>19</v>
      </c>
      <c r="O237" s="18">
        <f t="shared" si="262"/>
        <v>1548.81661891248</v>
      </c>
      <c r="P237" s="86" t="str">
        <f t="shared" si="212"/>
        <v>60</v>
      </c>
      <c r="Q237" s="4" t="str">
        <f t="shared" si="213"/>
        <v>1+12,7158290493295i</v>
      </c>
      <c r="R237" s="4">
        <f t="shared" si="224"/>
        <v>12.7550895101435</v>
      </c>
      <c r="S237" s="4">
        <f t="shared" si="225"/>
        <v>1.49231571152206</v>
      </c>
      <c r="T237" s="4" t="str">
        <f t="shared" si="214"/>
        <v>1+0,152589948591954i</v>
      </c>
      <c r="U237" s="4">
        <f t="shared" si="226"/>
        <v>1.01157485754209</v>
      </c>
      <c r="V237" s="4">
        <f t="shared" si="227"/>
        <v>0.151421937241584</v>
      </c>
      <c r="W237" t="str">
        <f t="shared" si="215"/>
        <v>1-0,212876602388329i</v>
      </c>
      <c r="X237" s="4">
        <f t="shared" si="228"/>
        <v>1.02240718299726</v>
      </c>
      <c r="Y237" s="4">
        <f t="shared" si="229"/>
        <v>-0.209745696532654</v>
      </c>
      <c r="Z237" t="str">
        <f t="shared" si="216"/>
        <v>0,999980417690457+0,0568001943165595i</v>
      </c>
      <c r="AA237" s="4">
        <f t="shared" si="230"/>
        <v>1.00159228123962</v>
      </c>
      <c r="AB237" s="4">
        <f t="shared" si="231"/>
        <v>0.0567403369081668</v>
      </c>
      <c r="AC237" s="67" t="str">
        <f t="shared" si="232"/>
        <v>-0,177658846563964-4,85409202072814i</v>
      </c>
      <c r="AD237" s="68">
        <f t="shared" si="233"/>
        <v>13.7279737847806</v>
      </c>
      <c r="AE237" s="31">
        <f t="shared" si="234"/>
        <v>-92.0960790569803</v>
      </c>
      <c r="AF237" s="32" t="str">
        <f t="shared" si="235"/>
        <v>326,048966736478</v>
      </c>
      <c r="AG237" s="32" t="str">
        <f t="shared" si="217"/>
        <v>1+8,17446153171183i</v>
      </c>
      <c r="AH237" s="32">
        <f t="shared" si="236"/>
        <v>8.23540049623796</v>
      </c>
      <c r="AI237" s="32">
        <f t="shared" si="237"/>
        <v>1.449068929375</v>
      </c>
      <c r="AJ237" s="32" t="str">
        <f t="shared" si="218"/>
        <v>1+0,152589948591954i</v>
      </c>
      <c r="AK237" s="32">
        <f t="shared" si="238"/>
        <v>1.01157485754209</v>
      </c>
      <c r="AL237" s="32">
        <f t="shared" si="239"/>
        <v>0.151421937241584</v>
      </c>
      <c r="AM237" s="32" t="str">
        <f t="shared" si="219"/>
        <v>1-0,0251826534339432i</v>
      </c>
      <c r="AN237" s="32">
        <f t="shared" si="240"/>
        <v>1.0003170327621</v>
      </c>
      <c r="AO237" s="32">
        <f t="shared" si="241"/>
        <v>-0.0251773321307326</v>
      </c>
      <c r="AP237" s="30" t="str">
        <f t="shared" si="242"/>
        <v>9,83278362052474-38,8366945146668i</v>
      </c>
      <c r="AQ237" s="32">
        <f t="shared" si="243"/>
        <v>32.0546758860881</v>
      </c>
      <c r="AR237" s="31">
        <f t="shared" si="244"/>
        <v>-75.7922508175808</v>
      </c>
      <c r="AS237" t="str">
        <f t="shared" si="220"/>
        <v>-0,000100699300699301</v>
      </c>
      <c r="AT237" t="str">
        <f t="shared" si="221"/>
        <v>0,00218666845973291i</v>
      </c>
      <c r="AU237">
        <f t="shared" si="245"/>
        <v>0.00218666845973291</v>
      </c>
      <c r="AV237">
        <f t="shared" si="246"/>
        <v>1.5707963267949</v>
      </c>
      <c r="AW237" t="str">
        <f t="shared" si="222"/>
        <v>1+0,111953414391014i</v>
      </c>
      <c r="AX237">
        <f t="shared" si="247"/>
        <v>1.00624726930999</v>
      </c>
      <c r="AY237">
        <f t="shared" si="248"/>
        <v>0.111489175358183</v>
      </c>
      <c r="AZ237" t="str">
        <f t="shared" si="223"/>
        <v>1+5,35232600290655i</v>
      </c>
      <c r="BA237">
        <f t="shared" si="249"/>
        <v>5.44494202369406</v>
      </c>
      <c r="BB237">
        <f t="shared" si="250"/>
        <v>1.386091199345</v>
      </c>
      <c r="BC237" s="30" t="str">
        <f t="shared" si="251"/>
        <v>-0,238339624329347+0,0727344064322878i</v>
      </c>
      <c r="BD237" s="32">
        <f t="shared" si="252"/>
        <v>-12.0693588220079</v>
      </c>
      <c r="BE237" s="31">
        <f t="shared" si="253"/>
        <v>163.029316533277</v>
      </c>
      <c r="BF237" s="30" t="str">
        <f t="shared" si="254"/>
        <v>0,395402644644206+1,14400055792815i</v>
      </c>
      <c r="BG237" s="68">
        <f t="shared" si="255"/>
        <v>1.65861496277265</v>
      </c>
      <c r="BH237" s="31">
        <f t="shared" si="256"/>
        <v>70.9332374762968</v>
      </c>
      <c r="BI237" s="30" t="str">
        <f t="shared" si="209"/>
        <v>0,481221969088755+9,97150486103529i</v>
      </c>
      <c r="BJ237" s="68">
        <f t="shared" si="257"/>
        <v>19.9853170640802</v>
      </c>
      <c r="BK237" s="31">
        <f t="shared" si="210"/>
        <v>87.2370657156964</v>
      </c>
      <c r="BL237" s="32">
        <f t="shared" si="258"/>
        <v>1.65861496277265</v>
      </c>
      <c r="BM237" s="31">
        <f t="shared" si="259"/>
        <v>70.9332374762968</v>
      </c>
      <c r="BO237">
        <f t="shared" si="260"/>
        <v>0</v>
      </c>
      <c r="BP237">
        <f t="shared" si="261"/>
        <v>0</v>
      </c>
    </row>
    <row r="238" spans="14:68">
      <c r="N238" s="7">
        <v>20</v>
      </c>
      <c r="O238" s="18">
        <f t="shared" si="262"/>
        <v>1584.89319246112</v>
      </c>
      <c r="P238" s="86" t="str">
        <f t="shared" si="212"/>
        <v>60</v>
      </c>
      <c r="Q238" s="4" t="str">
        <f t="shared" si="213"/>
        <v>1+13,012018757219i</v>
      </c>
      <c r="R238" s="4">
        <f t="shared" si="224"/>
        <v>13.0503881987556</v>
      </c>
      <c r="S238" s="4">
        <f t="shared" si="225"/>
        <v>1.4940950691788</v>
      </c>
      <c r="T238" s="4" t="str">
        <f t="shared" si="214"/>
        <v>1+0,156144225086628i</v>
      </c>
      <c r="U238" s="4">
        <f t="shared" si="226"/>
        <v>1.01211709748818</v>
      </c>
      <c r="V238" s="4">
        <f t="shared" si="227"/>
        <v>0.154893486196194</v>
      </c>
      <c r="W238" t="str">
        <f t="shared" si="215"/>
        <v>1-0,217835135444514i</v>
      </c>
      <c r="X238" s="4">
        <f t="shared" si="228"/>
        <v>1.02345109616148</v>
      </c>
      <c r="Y238" s="4">
        <f t="shared" si="229"/>
        <v>-0.214484447114288</v>
      </c>
      <c r="Z238" t="str">
        <f t="shared" si="216"/>
        <v>0,999979494804641+0,0581232408043207i</v>
      </c>
      <c r="AA238" s="4">
        <f t="shared" si="230"/>
        <v>1.00166726069656</v>
      </c>
      <c r="AB238" s="4">
        <f t="shared" si="231"/>
        <v>0.0580591081998864</v>
      </c>
      <c r="AC238" s="67" t="str">
        <f t="shared" si="232"/>
        <v>-0,19463552951093-4,75048533993735i</v>
      </c>
      <c r="AD238" s="68">
        <f t="shared" si="233"/>
        <v>13.5420439521852</v>
      </c>
      <c r="AE238" s="31">
        <f t="shared" si="234"/>
        <v>-92.3461940751345</v>
      </c>
      <c r="AF238" s="32" t="str">
        <f t="shared" si="235"/>
        <v>326,048966736478</v>
      </c>
      <c r="AG238" s="32" t="str">
        <f t="shared" si="217"/>
        <v>1+8,36486920106936i</v>
      </c>
      <c r="AH238" s="32">
        <f t="shared" si="236"/>
        <v>8.42443094523296</v>
      </c>
      <c r="AI238" s="32">
        <f t="shared" si="237"/>
        <v>1.4518134069303</v>
      </c>
      <c r="AJ238" s="32" t="str">
        <f t="shared" si="218"/>
        <v>1+0,156144225086628i</v>
      </c>
      <c r="AK238" s="32">
        <f t="shared" si="238"/>
        <v>1.01211709748818</v>
      </c>
      <c r="AL238" s="32">
        <f t="shared" si="239"/>
        <v>0.154893486196194</v>
      </c>
      <c r="AM238" s="32" t="str">
        <f t="shared" si="219"/>
        <v>1-0,0257692327859891i</v>
      </c>
      <c r="AN238" s="32">
        <f t="shared" si="240"/>
        <v>1.00033197157663</v>
      </c>
      <c r="AO238" s="32">
        <f t="shared" si="241"/>
        <v>-0.0257635310090624</v>
      </c>
      <c r="AP238" s="30" t="str">
        <f t="shared" si="242"/>
        <v>9,62279923446114-37,9848254165182i</v>
      </c>
      <c r="AQ238" s="32">
        <f t="shared" si="243"/>
        <v>31.8623432874206</v>
      </c>
      <c r="AR238" s="31">
        <f t="shared" si="244"/>
        <v>-75.7841794166794</v>
      </c>
      <c r="AS238" t="str">
        <f t="shared" si="220"/>
        <v>-0,000100699300699301</v>
      </c>
      <c r="AT238" t="str">
        <f t="shared" si="221"/>
        <v>0,00223760251128605i</v>
      </c>
      <c r="AU238">
        <f t="shared" si="245"/>
        <v>0.00223760251128605</v>
      </c>
      <c r="AV238">
        <f t="shared" si="246"/>
        <v>1.5707963267949</v>
      </c>
      <c r="AW238" t="str">
        <f t="shared" si="222"/>
        <v>1+0,114561144408228i</v>
      </c>
      <c r="AX238">
        <f t="shared" si="247"/>
        <v>1.00654073728197</v>
      </c>
      <c r="AY238">
        <f t="shared" si="248"/>
        <v>0.114063877738694</v>
      </c>
      <c r="AZ238" t="str">
        <f t="shared" si="223"/>
        <v>1+5,47699769117636i</v>
      </c>
      <c r="BA238">
        <f t="shared" si="249"/>
        <v>5.56754018478099</v>
      </c>
      <c r="BB238">
        <f t="shared" si="250"/>
        <v>1.39020376121545</v>
      </c>
      <c r="BC238" s="30" t="str">
        <f t="shared" si="251"/>
        <v>-0,238200663536242+0,0722917528424002i</v>
      </c>
      <c r="BD238" s="32">
        <f t="shared" si="252"/>
        <v>-12.0784896483424</v>
      </c>
      <c r="BE238" s="31">
        <f t="shared" si="253"/>
        <v>163.117429391535</v>
      </c>
      <c r="BF238" s="30" t="str">
        <f t="shared" si="254"/>
        <v>0,389783224353428+1,11749821649851i</v>
      </c>
      <c r="BG238" s="68">
        <f t="shared" si="255"/>
        <v>1.46355430384285</v>
      </c>
      <c r="BH238" s="31">
        <f t="shared" si="256"/>
        <v>70.7712353164004</v>
      </c>
      <c r="BI238" s="30" t="str">
        <f t="shared" si="209"/>
        <v>0,45383244804797+9,74365964243265i</v>
      </c>
      <c r="BJ238" s="68">
        <f t="shared" si="257"/>
        <v>19.7838536390782</v>
      </c>
      <c r="BK238" s="31">
        <f t="shared" si="210"/>
        <v>87.3332499748556</v>
      </c>
      <c r="BL238" s="32">
        <f t="shared" si="258"/>
        <v>1.46355430384285</v>
      </c>
      <c r="BM238" s="31">
        <f t="shared" si="259"/>
        <v>70.7712353164004</v>
      </c>
      <c r="BO238">
        <f t="shared" si="260"/>
        <v>0</v>
      </c>
      <c r="BP238">
        <f t="shared" si="261"/>
        <v>0</v>
      </c>
    </row>
    <row r="239" spans="14:68">
      <c r="N239" s="7">
        <v>21</v>
      </c>
      <c r="O239" s="18">
        <f t="shared" si="262"/>
        <v>1621.81009735893</v>
      </c>
      <c r="P239" s="86" t="str">
        <f t="shared" si="212"/>
        <v>60</v>
      </c>
      <c r="Q239" s="4" t="str">
        <f t="shared" si="213"/>
        <v>1+13,3151076096878i</v>
      </c>
      <c r="R239" s="4">
        <f t="shared" si="224"/>
        <v>13.3526061372889</v>
      </c>
      <c r="S239" s="4">
        <f t="shared" si="225"/>
        <v>1.49583439407417</v>
      </c>
      <c r="T239" s="4" t="str">
        <f t="shared" si="214"/>
        <v>1+0,159781291316254i</v>
      </c>
      <c r="U239" s="4">
        <f t="shared" si="226"/>
        <v>1.01268458122689</v>
      </c>
      <c r="V239" s="4">
        <f t="shared" si="227"/>
        <v>0.158442005416698</v>
      </c>
      <c r="W239" t="str">
        <f t="shared" si="215"/>
        <v>1-0,222909167572899i</v>
      </c>
      <c r="X239" s="4">
        <f t="shared" si="228"/>
        <v>1.02454306741495</v>
      </c>
      <c r="Y239" s="4">
        <f t="shared" si="229"/>
        <v>-0.219323469077106</v>
      </c>
      <c r="Z239" t="str">
        <f t="shared" si="216"/>
        <v>0,999978528424556+0,0594771050037078i</v>
      </c>
      <c r="AA239" s="4">
        <f t="shared" si="230"/>
        <v>1.00174576781225</v>
      </c>
      <c r="AB239" s="4">
        <f t="shared" si="231"/>
        <v>0.0594083921461065</v>
      </c>
      <c r="AC239" s="67" t="str">
        <f t="shared" si="232"/>
        <v>-0,210886706147996-4,64928108966166i</v>
      </c>
      <c r="AD239" s="68">
        <f t="shared" si="233"/>
        <v>13.3566422386653</v>
      </c>
      <c r="AE239" s="31">
        <f t="shared" si="234"/>
        <v>-92.5970986869094</v>
      </c>
      <c r="AF239" s="32" t="str">
        <f t="shared" si="235"/>
        <v>326,048966736478</v>
      </c>
      <c r="AG239" s="32" t="str">
        <f t="shared" si="217"/>
        <v>1+8,55971203479933i</v>
      </c>
      <c r="AH239" s="32">
        <f t="shared" si="236"/>
        <v>8.61792725187957</v>
      </c>
      <c r="AI239" s="32">
        <f t="shared" si="237"/>
        <v>1.45449715385691</v>
      </c>
      <c r="AJ239" s="32" t="str">
        <f t="shared" si="218"/>
        <v>1+0,159781291316254i</v>
      </c>
      <c r="AK239" s="32">
        <f t="shared" si="238"/>
        <v>1.01268458122689</v>
      </c>
      <c r="AL239" s="32">
        <f t="shared" si="239"/>
        <v>0.158442005416698</v>
      </c>
      <c r="AM239" s="32" t="str">
        <f t="shared" si="219"/>
        <v>1-0,0263694753263539i</v>
      </c>
      <c r="AN239" s="32">
        <f t="shared" si="240"/>
        <v>1.00034761419668</v>
      </c>
      <c r="AO239" s="32">
        <f t="shared" si="241"/>
        <v>-0.0263633658769596</v>
      </c>
      <c r="AP239" s="30" t="str">
        <f t="shared" si="242"/>
        <v>9,42200520090912-37,1508665562196i</v>
      </c>
      <c r="AQ239" s="32">
        <f t="shared" si="243"/>
        <v>31.6701028576493</v>
      </c>
      <c r="AR239" s="31">
        <f t="shared" si="244"/>
        <v>-75.7689996203345</v>
      </c>
      <c r="AS239" t="str">
        <f t="shared" si="220"/>
        <v>-0,000100699300699301</v>
      </c>
      <c r="AT239" t="str">
        <f t="shared" si="221"/>
        <v>0,00228972296930882i</v>
      </c>
      <c r="AU239">
        <f t="shared" si="245"/>
        <v>0.00228972296930882</v>
      </c>
      <c r="AV239">
        <f t="shared" si="246"/>
        <v>1.5707963267949</v>
      </c>
      <c r="AW239" t="str">
        <f t="shared" si="222"/>
        <v>1+0,117229616260603i</v>
      </c>
      <c r="AX239">
        <f t="shared" si="247"/>
        <v>1.00684794429378</v>
      </c>
      <c r="AY239">
        <f t="shared" si="248"/>
        <v>0.116696980955779</v>
      </c>
      <c r="AZ239" t="str">
        <f t="shared" si="223"/>
        <v>1+5,6045733561186i</v>
      </c>
      <c r="BA239">
        <f t="shared" si="249"/>
        <v>5.69308725597233</v>
      </c>
      <c r="BB239">
        <f t="shared" si="250"/>
        <v>1.39422868640602</v>
      </c>
      <c r="BC239" s="30" t="str">
        <f t="shared" si="251"/>
        <v>-0,238055327290209+0,0718859487196675i</v>
      </c>
      <c r="BD239" s="32">
        <f t="shared" si="252"/>
        <v>-12.087450673939</v>
      </c>
      <c r="BE239" s="31">
        <f t="shared" si="253"/>
        <v>163.197174916449</v>
      </c>
      <c r="BF239" s="30" t="str">
        <f t="shared" si="254"/>
        <v>0,384420685847953+1,09162634051977i</v>
      </c>
      <c r="BG239" s="68">
        <f t="shared" si="255"/>
        <v>1.26919156472625</v>
      </c>
      <c r="BH239" s="31">
        <f t="shared" si="256"/>
        <v>70.6000762295399</v>
      </c>
      <c r="BI239" s="30" t="str">
        <f t="shared" si="209"/>
        <v>0,42766675631914+9,52127147986473i</v>
      </c>
      <c r="BJ239" s="68">
        <f t="shared" si="257"/>
        <v>19.5826521837103</v>
      </c>
      <c r="BK239" s="31">
        <f t="shared" si="210"/>
        <v>87.4281752961147</v>
      </c>
      <c r="BL239" s="32">
        <f t="shared" si="258"/>
        <v>1.26919156472625</v>
      </c>
      <c r="BM239" s="31">
        <f t="shared" si="259"/>
        <v>70.6000762295399</v>
      </c>
      <c r="BO239">
        <f t="shared" si="260"/>
        <v>0</v>
      </c>
      <c r="BP239">
        <f t="shared" si="261"/>
        <v>0</v>
      </c>
    </row>
    <row r="240" spans="14:68">
      <c r="N240" s="7">
        <v>22</v>
      </c>
      <c r="O240" s="18">
        <f t="shared" si="262"/>
        <v>1659.58690743756</v>
      </c>
      <c r="P240" s="86" t="str">
        <f t="shared" si="212"/>
        <v>60</v>
      </c>
      <c r="Q240" s="4" t="str">
        <f t="shared" si="213"/>
        <v>1+13,6252563084577i</v>
      </c>
      <c r="R240" s="4">
        <f t="shared" si="224"/>
        <v>13.6619035815353</v>
      </c>
      <c r="S240" s="4">
        <f t="shared" si="225"/>
        <v>1.49753456630257</v>
      </c>
      <c r="T240" s="4" t="str">
        <f t="shared" si="214"/>
        <v>1+0,163503075701493i</v>
      </c>
      <c r="U240" s="4">
        <f t="shared" si="226"/>
        <v>1.01327846901227</v>
      </c>
      <c r="V240" s="4">
        <f t="shared" si="227"/>
        <v>0.162069018728812</v>
      </c>
      <c r="W240" t="str">
        <f t="shared" si="215"/>
        <v>1-0,228101389092485i</v>
      </c>
      <c r="X240" s="4">
        <f t="shared" si="228"/>
        <v>1.02568525567346</v>
      </c>
      <c r="Y240" s="4">
        <f t="shared" si="229"/>
        <v>-0.224264421230572</v>
      </c>
      <c r="Z240" t="str">
        <f t="shared" si="216"/>
        <v>0,999977516500381+0,0608625047514409i</v>
      </c>
      <c r="AA240" s="4">
        <f t="shared" si="230"/>
        <v>1.00182796826146</v>
      </c>
      <c r="AB240" s="4">
        <f t="shared" si="231"/>
        <v>0.0607888848514743</v>
      </c>
      <c r="AC240" s="67" t="str">
        <f t="shared" si="232"/>
        <v>-0,226445676262529-4,55043304633057i</v>
      </c>
      <c r="AD240" s="68">
        <f t="shared" si="233"/>
        <v>13.1717961921007</v>
      </c>
      <c r="AE240" s="31">
        <f t="shared" si="234"/>
        <v>-92.8488909358558</v>
      </c>
      <c r="AF240" s="32" t="str">
        <f t="shared" si="235"/>
        <v>326,048966736478</v>
      </c>
      <c r="AG240" s="32" t="str">
        <f t="shared" si="217"/>
        <v>1+8,75909334115142i</v>
      </c>
      <c r="AH240" s="32">
        <f t="shared" si="236"/>
        <v>8.81599206890541</v>
      </c>
      <c r="AI240" s="32">
        <f t="shared" si="237"/>
        <v>1.45712143839226</v>
      </c>
      <c r="AJ240" s="32" t="str">
        <f t="shared" si="218"/>
        <v>1+0,163503075701493i</v>
      </c>
      <c r="AK240" s="32">
        <f t="shared" si="238"/>
        <v>1.01327846901227</v>
      </c>
      <c r="AL240" s="32">
        <f t="shared" si="239"/>
        <v>0.162069018728812</v>
      </c>
      <c r="AM240" s="32" t="str">
        <f t="shared" si="219"/>
        <v>1-0,0269836993115783i</v>
      </c>
      <c r="AN240" s="32">
        <f t="shared" si="240"/>
        <v>1.00036399376854</v>
      </c>
      <c r="AO240" s="32">
        <f t="shared" si="241"/>
        <v>-0.0269771530472492</v>
      </c>
      <c r="AP240" s="30" t="str">
        <f t="shared" si="242"/>
        <v>9,23001035431547-36,3345206218033i</v>
      </c>
      <c r="AQ240" s="32">
        <f t="shared" si="243"/>
        <v>31.4779700732263</v>
      </c>
      <c r="AR240" s="31">
        <f t="shared" si="244"/>
        <v>-75.7467149078062</v>
      </c>
      <c r="AS240" t="str">
        <f t="shared" si="220"/>
        <v>-0,000100699300699301</v>
      </c>
      <c r="AT240" t="str">
        <f t="shared" si="221"/>
        <v>0,002343057468758i</v>
      </c>
      <c r="AU240">
        <f t="shared" si="245"/>
        <v>0.002343057468758</v>
      </c>
      <c r="AV240">
        <f t="shared" si="246"/>
        <v>1.5707963267949</v>
      </c>
      <c r="AW240" t="str">
        <f t="shared" si="222"/>
        <v>1+0,119960244807237i</v>
      </c>
      <c r="AX240">
        <f t="shared" si="247"/>
        <v>1.0071695290934</v>
      </c>
      <c r="AY240">
        <f t="shared" si="248"/>
        <v>0.119389734989446</v>
      </c>
      <c r="AZ240" t="str">
        <f t="shared" si="223"/>
        <v>1+5,73512064003961i</v>
      </c>
      <c r="BA240">
        <f t="shared" si="249"/>
        <v>5.82165000286073</v>
      </c>
      <c r="BB240">
        <f t="shared" si="250"/>
        <v>1.3981675870969</v>
      </c>
      <c r="BC240" s="30" t="str">
        <f t="shared" si="251"/>
        <v>-0,237903331522505+0,0715166759156353i</v>
      </c>
      <c r="BD240" s="32">
        <f t="shared" si="252"/>
        <v>-12.096259443258</v>
      </c>
      <c r="BE240" s="31">
        <f t="shared" si="253"/>
        <v>163.268573860561</v>
      </c>
      <c r="BF240" s="30" t="str">
        <f t="shared" si="254"/>
        <v>0,379304026241943+1,06636853955038i</v>
      </c>
      <c r="BG240" s="68">
        <f t="shared" si="255"/>
        <v>1.07553674884271</v>
      </c>
      <c r="BH240" s="31">
        <f t="shared" si="256"/>
        <v>70.4196829247056</v>
      </c>
      <c r="BI240" s="30" t="str">
        <f t="shared" si="209"/>
        <v>0,402673922580608+9,3042031644077i</v>
      </c>
      <c r="BJ240" s="68">
        <f t="shared" si="257"/>
        <v>19.3817106299684</v>
      </c>
      <c r="BK240" s="31">
        <f t="shared" si="210"/>
        <v>87.5218589527552</v>
      </c>
      <c r="BL240" s="32">
        <f t="shared" si="258"/>
        <v>1.07553674884271</v>
      </c>
      <c r="BM240" s="31">
        <f t="shared" si="259"/>
        <v>70.4196829247056</v>
      </c>
      <c r="BO240">
        <f t="shared" si="260"/>
        <v>0</v>
      </c>
      <c r="BP240">
        <f t="shared" si="261"/>
        <v>0</v>
      </c>
    </row>
    <row r="241" spans="14:68">
      <c r="N241" s="7">
        <v>23</v>
      </c>
      <c r="O241" s="18">
        <f t="shared" si="262"/>
        <v>1698.24365246174</v>
      </c>
      <c r="P241" s="86" t="str">
        <f t="shared" si="212"/>
        <v>60</v>
      </c>
      <c r="Q241" s="4" t="str">
        <f t="shared" si="213"/>
        <v>1+13,9426292984739i</v>
      </c>
      <c r="R241" s="4">
        <f t="shared" si="224"/>
        <v>13.9784445398858</v>
      </c>
      <c r="S241" s="4">
        <f t="shared" si="225"/>
        <v>1.49919644797984</v>
      </c>
      <c r="T241" s="4" t="str">
        <f t="shared" si="214"/>
        <v>1+0,167311551581687i</v>
      </c>
      <c r="U241" s="4">
        <f t="shared" si="226"/>
        <v>1.01389997302134</v>
      </c>
      <c r="V241" s="4">
        <f t="shared" si="227"/>
        <v>0.16577606731541</v>
      </c>
      <c r="W241" t="str">
        <f t="shared" si="215"/>
        <v>1-0,233414552987844i</v>
      </c>
      <c r="X241" s="4">
        <f t="shared" si="228"/>
        <v>1.0268799119403</v>
      </c>
      <c r="Y241" s="4">
        <f t="shared" si="229"/>
        <v>-0.229308957908368</v>
      </c>
      <c r="Z241" t="str">
        <f t="shared" si="216"/>
        <v>0,999976456885689+0,0622801746048034i</v>
      </c>
      <c r="AA241" s="4">
        <f t="shared" si="230"/>
        <v>1.00191403547134</v>
      </c>
      <c r="AB241" s="4">
        <f t="shared" si="231"/>
        <v>0.0622012975973149</v>
      </c>
      <c r="AC241" s="67" t="str">
        <f t="shared" si="232"/>
        <v>-0,241344370621951-4,45389573119282i</v>
      </c>
      <c r="AD241" s="68">
        <f t="shared" si="233"/>
        <v>12.987534236284</v>
      </c>
      <c r="AE241" s="31">
        <f t="shared" si="234"/>
        <v>-93.1016674540556</v>
      </c>
      <c r="AF241" s="32" t="str">
        <f t="shared" si="235"/>
        <v>326,048966736478</v>
      </c>
      <c r="AG241" s="32" t="str">
        <f t="shared" si="217"/>
        <v>1+8,96311883473323i</v>
      </c>
      <c r="AH241" s="32">
        <f t="shared" si="236"/>
        <v>9.01873046750758</v>
      </c>
      <c r="AI241" s="32">
        <f t="shared" si="237"/>
        <v>1.45968750730382</v>
      </c>
      <c r="AJ241" s="32" t="str">
        <f t="shared" si="218"/>
        <v>1+0,167311551581687i</v>
      </c>
      <c r="AK241" s="32">
        <f t="shared" si="238"/>
        <v>1.01389997302134</v>
      </c>
      <c r="AL241" s="32">
        <f t="shared" si="239"/>
        <v>0.16577606731541</v>
      </c>
      <c r="AM241" s="32" t="str">
        <f t="shared" si="219"/>
        <v>1-0,027612230411349i</v>
      </c>
      <c r="AN241" s="32">
        <f t="shared" si="240"/>
        <v>1.00038114499839</v>
      </c>
      <c r="AO241" s="32">
        <f t="shared" si="241"/>
        <v>-0.027605216107074</v>
      </c>
      <c r="AP241" s="30" t="str">
        <f t="shared" si="242"/>
        <v>9,04643921495437-35,5354903934507i</v>
      </c>
      <c r="AQ241" s="32">
        <f t="shared" si="243"/>
        <v>31.2859605904298</v>
      </c>
      <c r="AR241" s="31">
        <f t="shared" si="244"/>
        <v>-75.7173269505125</v>
      </c>
      <c r="AS241" t="str">
        <f t="shared" si="220"/>
        <v>-0,000100699300699301</v>
      </c>
      <c r="AT241" t="str">
        <f t="shared" si="221"/>
        <v>0,00239763428829114i</v>
      </c>
      <c r="AU241">
        <f t="shared" si="245"/>
        <v>0.00239763428829114</v>
      </c>
      <c r="AV241">
        <f t="shared" si="246"/>
        <v>1.5707963267949</v>
      </c>
      <c r="AW241" t="str">
        <f t="shared" si="222"/>
        <v>1+0,122754477863529i</v>
      </c>
      <c r="AX241">
        <f t="shared" si="247"/>
        <v>1.00750615970105</v>
      </c>
      <c r="AY241">
        <f t="shared" si="248"/>
        <v>0.122143411289811</v>
      </c>
      <c r="AZ241" t="str">
        <f t="shared" si="223"/>
        <v>1+5,86870876083722i</v>
      </c>
      <c r="BA241">
        <f t="shared" si="249"/>
        <v>5.95329677737701</v>
      </c>
      <c r="BB241">
        <f t="shared" si="250"/>
        <v>1.40202206260802</v>
      </c>
      <c r="BC241" s="30" t="str">
        <f t="shared" si="251"/>
        <v>-0,237744380307992+0,0711836286319865i</v>
      </c>
      <c r="BD241" s="32">
        <f t="shared" si="252"/>
        <v>-12.1049332617449</v>
      </c>
      <c r="BE241" s="31">
        <f t="shared" si="253"/>
        <v>163.331645009429</v>
      </c>
      <c r="BF241" s="30" t="str">
        <f t="shared" si="254"/>
        <v>0,374422727529158+1,04170891251807i</v>
      </c>
      <c r="BG241" s="68">
        <f t="shared" si="255"/>
        <v>0.882600974539104</v>
      </c>
      <c r="BH241" s="31">
        <f t="shared" si="256"/>
        <v>70.2299775553735</v>
      </c>
      <c r="BI241" s="30" t="str">
        <f t="shared" si="209"/>
        <v>0,378805066269674+9,09232151205069i</v>
      </c>
      <c r="BJ241" s="68">
        <f t="shared" si="257"/>
        <v>19.1810273286849</v>
      </c>
      <c r="BK241" s="31">
        <f t="shared" si="210"/>
        <v>87.6143180589167</v>
      </c>
      <c r="BL241" s="32">
        <f t="shared" si="258"/>
        <v>0.882600974539104</v>
      </c>
      <c r="BM241" s="31">
        <f t="shared" si="259"/>
        <v>70.2299775553735</v>
      </c>
      <c r="BO241">
        <f t="shared" si="260"/>
        <v>0</v>
      </c>
      <c r="BP241">
        <f t="shared" si="261"/>
        <v>0</v>
      </c>
    </row>
    <row r="242" spans="14:68">
      <c r="N242" s="7">
        <v>24</v>
      </c>
      <c r="O242" s="18">
        <f t="shared" si="262"/>
        <v>1737.80082874938</v>
      </c>
      <c r="P242" s="86" t="str">
        <f t="shared" si="212"/>
        <v>60</v>
      </c>
      <c r="Q242" s="4" t="str">
        <f t="shared" si="213"/>
        <v>1+14,2673948550967i</v>
      </c>
      <c r="R242" s="4">
        <f t="shared" si="224"/>
        <v>14.3023968603601</v>
      </c>
      <c r="S242" s="4">
        <f t="shared" si="225"/>
        <v>1.50082088351812</v>
      </c>
      <c r="T242" s="4" t="str">
        <f t="shared" si="214"/>
        <v>1+0,171208738261161i</v>
      </c>
      <c r="U242" s="4">
        <f t="shared" si="226"/>
        <v>1.01455035954702</v>
      </c>
      <c r="V242" s="4">
        <f t="shared" si="227"/>
        <v>0.169564708952315</v>
      </c>
      <c r="W242" t="str">
        <f t="shared" si="215"/>
        <v>1-0,238851476368807i</v>
      </c>
      <c r="X242" s="4">
        <f t="shared" si="228"/>
        <v>1.0281293827936</v>
      </c>
      <c r="Y242" s="4">
        <f t="shared" si="229"/>
        <v>-0.234458726370665</v>
      </c>
      <c r="Z242" t="str">
        <f t="shared" si="216"/>
        <v>0,999975347332895+0,0637308662311173i</v>
      </c>
      <c r="AA242" s="4">
        <f t="shared" si="230"/>
        <v>1.00200415098148</v>
      </c>
      <c r="AB242" s="4">
        <f t="shared" si="231"/>
        <v>0.0636463571219479</v>
      </c>
      <c r="AC242" s="67" t="str">
        <f t="shared" si="232"/>
        <v>-0,255613409851318-4,35962441767455i</v>
      </c>
      <c r="AD242" s="68">
        <f t="shared" si="233"/>
        <v>12.8038857040132</v>
      </c>
      <c r="AE242" s="31">
        <f t="shared" si="234"/>
        <v>-93.3555233888733</v>
      </c>
      <c r="AF242" s="32" t="str">
        <f t="shared" si="235"/>
        <v>326,048966736478</v>
      </c>
      <c r="AG242" s="32" t="str">
        <f t="shared" si="217"/>
        <v>1+9,17189669256219i</v>
      </c>
      <c r="AH242" s="32">
        <f t="shared" si="236"/>
        <v>9.22624999330894</v>
      </c>
      <c r="AI242" s="32">
        <f t="shared" si="237"/>
        <v>1.46219658590754</v>
      </c>
      <c r="AJ242" s="32" t="str">
        <f t="shared" si="218"/>
        <v>1+0,171208738261161i</v>
      </c>
      <c r="AK242" s="32">
        <f t="shared" si="238"/>
        <v>1.01455035954702</v>
      </c>
      <c r="AL242" s="32">
        <f t="shared" si="239"/>
        <v>0.169564708952315</v>
      </c>
      <c r="AM242" s="32" t="str">
        <f t="shared" si="219"/>
        <v>1-0,0282554018811751i</v>
      </c>
      <c r="AN242" s="32">
        <f t="shared" si="240"/>
        <v>1.00039910422564</v>
      </c>
      <c r="AO242" s="32">
        <f t="shared" si="241"/>
        <v>-0.0282478860806655</v>
      </c>
      <c r="AP242" s="30" t="str">
        <f t="shared" si="242"/>
        <v>8,87093144459379-34,7534791583891i</v>
      </c>
      <c r="AQ242" s="32">
        <f t="shared" si="243"/>
        <v>31.0940902704731</v>
      </c>
      <c r="AR242" s="31">
        <f t="shared" si="244"/>
        <v>-75.680835666197</v>
      </c>
      <c r="AS242" t="str">
        <f t="shared" si="220"/>
        <v>-0,000100699300699301</v>
      </c>
      <c r="AT242" t="str">
        <f t="shared" si="221"/>
        <v>0,00245348236526039i</v>
      </c>
      <c r="AU242">
        <f t="shared" si="245"/>
        <v>0.00245348236526039</v>
      </c>
      <c r="AV242">
        <f t="shared" si="246"/>
        <v>1.5707963267949</v>
      </c>
      <c r="AW242" t="str">
        <f t="shared" si="222"/>
        <v>1+0,125613796968833i</v>
      </c>
      <c r="AX242">
        <f t="shared" si="247"/>
        <v>1.00785853471057</v>
      </c>
      <c r="AY242">
        <f t="shared" si="248"/>
        <v>0.124959302759731</v>
      </c>
      <c r="AZ242" t="str">
        <f t="shared" si="223"/>
        <v>1+6,00540854870142i</v>
      </c>
      <c r="BA242">
        <f t="shared" si="249"/>
        <v>6.08809755480446</v>
      </c>
      <c r="BB242">
        <f t="shared" si="250"/>
        <v>1.40579369827723</v>
      </c>
      <c r="BC242" s="30" t="str">
        <f t="shared" si="251"/>
        <v>-0,237578165446802+0,0708865127972436i</v>
      </c>
      <c r="BD242" s="32">
        <f t="shared" si="252"/>
        <v>-12.1134892218733</v>
      </c>
      <c r="BE242" s="31">
        <f t="shared" si="253"/>
        <v>163.386405118343</v>
      </c>
      <c r="BF242" s="30" t="str">
        <f t="shared" si="254"/>
        <v>0,36976673705074+1,01763202793963i</v>
      </c>
      <c r="BG242" s="68">
        <f t="shared" si="255"/>
        <v>0.690396482139967</v>
      </c>
      <c r="BH242" s="31">
        <f t="shared" si="256"/>
        <v>70.0308817294694</v>
      </c>
      <c r="BI242" s="30" t="str">
        <f t="shared" ref="BI242:BI305" si="263">IMPRODUCT(AP242,BC242)</f>
        <v>0,356013326698946+8,88549721671442i</v>
      </c>
      <c r="BJ242" s="68">
        <f t="shared" si="257"/>
        <v>18.9806010485998</v>
      </c>
      <c r="BK242" s="31">
        <f t="shared" ref="BK242:BK305" si="264">(180/PI())*IMARGUMENT(BI242)</f>
        <v>87.7055694521457</v>
      </c>
      <c r="BL242" s="32">
        <f t="shared" si="258"/>
        <v>0.690396482139967</v>
      </c>
      <c r="BM242" s="31">
        <f t="shared" si="259"/>
        <v>70.0308817294694</v>
      </c>
      <c r="BO242">
        <f t="shared" si="260"/>
        <v>0</v>
      </c>
      <c r="BP242">
        <f t="shared" si="261"/>
        <v>0</v>
      </c>
    </row>
    <row r="243" spans="14:68">
      <c r="N243" s="7">
        <v>25</v>
      </c>
      <c r="O243" s="18">
        <f t="shared" si="262"/>
        <v>1778.27941003892</v>
      </c>
      <c r="P243" s="86" t="str">
        <f t="shared" si="212"/>
        <v>60</v>
      </c>
      <c r="Q243" s="4" t="str">
        <f t="shared" si="213"/>
        <v>1+14,5997251733229i</v>
      </c>
      <c r="R243" s="4">
        <f t="shared" si="224"/>
        <v>14.6339323196658</v>
      </c>
      <c r="S243" s="4">
        <f t="shared" si="225"/>
        <v>1.502408699903</v>
      </c>
      <c r="T243" s="4" t="str">
        <f t="shared" si="214"/>
        <v>1+0,175196702079875i</v>
      </c>
      <c r="U243" s="4">
        <f t="shared" si="226"/>
        <v>1.01523095127151</v>
      </c>
      <c r="V243" s="4">
        <f t="shared" si="227"/>
        <v>0.173436517157383</v>
      </c>
      <c r="W243" t="str">
        <f t="shared" si="215"/>
        <v>1-0,244415041964111i</v>
      </c>
      <c r="X243" s="4">
        <f t="shared" si="228"/>
        <v>1.02943611396644</v>
      </c>
      <c r="Y243" s="4">
        <f t="shared" si="229"/>
        <v>-0.239715364030538</v>
      </c>
      <c r="Z243" t="str">
        <f t="shared" si="216"/>
        <v>0,999974185488488+0,0652153488062842i</v>
      </c>
      <c r="AA243" s="4">
        <f t="shared" si="230"/>
        <v>1.0020985048204</v>
      </c>
      <c r="AB243" s="4">
        <f t="shared" si="231"/>
        <v>0.0651248059024146</v>
      </c>
      <c r="AC243" s="67" t="str">
        <f t="shared" si="232"/>
        <v>-0,269282161268188-4,26757513705679i</v>
      </c>
      <c r="AD243" s="68">
        <f t="shared" si="233"/>
        <v>12.6208808699117</v>
      </c>
      <c r="AE243" s="31">
        <f t="shared" si="234"/>
        <v>-93.6105523248217</v>
      </c>
      <c r="AF243" s="32" t="str">
        <f t="shared" si="235"/>
        <v>326,048966736478</v>
      </c>
      <c r="AG243" s="32" t="str">
        <f t="shared" si="217"/>
        <v>1+9,38553761142187i</v>
      </c>
      <c r="AH243" s="32">
        <f t="shared" si="236"/>
        <v>9.43866072360981</v>
      </c>
      <c r="AI243" s="32">
        <f t="shared" si="237"/>
        <v>1.46464987811477</v>
      </c>
      <c r="AJ243" s="32" t="str">
        <f t="shared" si="218"/>
        <v>1+0,175196702079875i</v>
      </c>
      <c r="AK243" s="32">
        <f t="shared" si="238"/>
        <v>1.01523095127151</v>
      </c>
      <c r="AL243" s="32">
        <f t="shared" si="239"/>
        <v>0.173436517157383</v>
      </c>
      <c r="AM243" s="32" t="str">
        <f t="shared" si="219"/>
        <v>1-0,0289135547390827i</v>
      </c>
      <c r="AN243" s="32">
        <f t="shared" si="240"/>
        <v>1.00041790949965</v>
      </c>
      <c r="AO243" s="32">
        <f t="shared" si="241"/>
        <v>-0.0289055015954255</v>
      </c>
      <c r="AP243" s="30" t="str">
        <f t="shared" si="242"/>
        <v>8,70314131334825-33,9881910925242i</v>
      </c>
      <c r="AQ243" s="32">
        <f t="shared" si="243"/>
        <v>30.9023752046416</v>
      </c>
      <c r="AR243" s="31">
        <f t="shared" si="244"/>
        <v>-75.6372392798867</v>
      </c>
      <c r="AS243" t="str">
        <f t="shared" si="220"/>
        <v>-0,000100699300699301</v>
      </c>
      <c r="AT243" t="str">
        <f t="shared" si="221"/>
        <v>0,00251063131105535i</v>
      </c>
      <c r="AU243">
        <f t="shared" si="245"/>
        <v>0.00251063131105535</v>
      </c>
      <c r="AV243">
        <f t="shared" si="246"/>
        <v>1.5707963267949</v>
      </c>
      <c r="AW243" t="str">
        <f t="shared" si="222"/>
        <v>1+0,128539718171983i</v>
      </c>
      <c r="AX243">
        <f t="shared" si="247"/>
        <v>1.00822738464482</v>
      </c>
      <c r="AY243">
        <f t="shared" si="248"/>
        <v>0.127838723703459</v>
      </c>
      <c r="AZ243" t="str">
        <f t="shared" si="223"/>
        <v>1+6,14529248366907i</v>
      </c>
      <c r="BA243">
        <f t="shared" si="249"/>
        <v>6.22612397160863</v>
      </c>
      <c r="BB243">
        <f t="shared" si="250"/>
        <v>1.4094840644404</v>
      </c>
      <c r="BC243" s="30" t="str">
        <f t="shared" si="251"/>
        <v>-0,237404366038787+0,0706250454214536i</v>
      </c>
      <c r="BD243" s="32">
        <f t="shared" si="252"/>
        <v>-12.1219442292537</v>
      </c>
      <c r="BE243" s="31">
        <f t="shared" si="253"/>
        <v>163.432868856833</v>
      </c>
      <c r="BF243" s="30" t="str">
        <f t="shared" si="254"/>
        <v>0,36532644867553+0,994122905065104i</v>
      </c>
      <c r="BG243" s="68">
        <f t="shared" si="255"/>
        <v>0.498936640657972</v>
      </c>
      <c r="BH243" s="31">
        <f t="shared" si="256"/>
        <v>69.8223165320112</v>
      </c>
      <c r="BI243" s="30" t="str">
        <f t="shared" si="263"/>
        <v>0,334253793661149+8,6836047096904i</v>
      </c>
      <c r="BJ243" s="68">
        <f t="shared" si="257"/>
        <v>18.7804309753879</v>
      </c>
      <c r="BK243" s="31">
        <f t="shared" si="264"/>
        <v>87.7956295769461</v>
      </c>
      <c r="BL243" s="32">
        <f t="shared" si="258"/>
        <v>0.498936640657972</v>
      </c>
      <c r="BM243" s="31">
        <f t="shared" si="259"/>
        <v>69.8223165320112</v>
      </c>
      <c r="BO243">
        <f t="shared" si="260"/>
        <v>0</v>
      </c>
      <c r="BP243">
        <f t="shared" si="261"/>
        <v>0</v>
      </c>
    </row>
    <row r="244" spans="14:68">
      <c r="N244" s="7">
        <v>26</v>
      </c>
      <c r="O244" s="18">
        <f t="shared" si="262"/>
        <v>1819.70085860998</v>
      </c>
      <c r="P244" s="86" t="str">
        <f t="shared" si="212"/>
        <v>60</v>
      </c>
      <c r="Q244" s="4" t="str">
        <f t="shared" si="213"/>
        <v>1+14,9397964590863i</v>
      </c>
      <c r="R244" s="4">
        <f t="shared" si="224"/>
        <v>14.9732267143367</v>
      </c>
      <c r="S244" s="4">
        <f t="shared" si="225"/>
        <v>1.50396070697264</v>
      </c>
      <c r="T244" s="4" t="str">
        <f t="shared" si="214"/>
        <v>1+0,179277557509035i</v>
      </c>
      <c r="U244" s="4">
        <f t="shared" si="226"/>
        <v>1.01594312962213</v>
      </c>
      <c r="V244" s="4">
        <f t="shared" si="227"/>
        <v>0.177393080247567</v>
      </c>
      <c r="W244" t="str">
        <f t="shared" si="215"/>
        <v>1-0,250108199649882i</v>
      </c>
      <c r="X244" s="4">
        <f t="shared" si="228"/>
        <v>1.03080265401875</v>
      </c>
      <c r="Y244" s="4">
        <f t="shared" si="229"/>
        <v>-0.245080495498583</v>
      </c>
      <c r="Z244" t="str">
        <f t="shared" si="216"/>
        <v>0,999972968888042+0,0667344094226158i</v>
      </c>
      <c r="AA244" s="4">
        <f t="shared" si="230"/>
        <v>1.00219729589924</v>
      </c>
      <c r="AB244" s="4">
        <f t="shared" si="231"/>
        <v>0.0666374024373114</v>
      </c>
      <c r="AC244" s="67" t="str">
        <f t="shared" si="232"/>
        <v>-0,282378793730723-4,17770468259649i</v>
      </c>
      <c r="AD244" s="68">
        <f t="shared" si="233"/>
        <v>12.4385509828748</v>
      </c>
      <c r="AE244" s="31">
        <f t="shared" si="234"/>
        <v>-93.8668462004492</v>
      </c>
      <c r="AF244" s="32" t="str">
        <f t="shared" si="235"/>
        <v>326,048966736478</v>
      </c>
      <c r="AG244" s="32" t="str">
        <f t="shared" si="217"/>
        <v>1+9,60415486655546i</v>
      </c>
      <c r="AH244" s="32">
        <f t="shared" si="236"/>
        <v>9.65607532596867</v>
      </c>
      <c r="AI244" s="32">
        <f t="shared" si="237"/>
        <v>1.46704856650527</v>
      </c>
      <c r="AJ244" s="32" t="str">
        <f t="shared" si="218"/>
        <v>1+0,179277557509035i</v>
      </c>
      <c r="AK244" s="32">
        <f t="shared" si="238"/>
        <v>1.01594312962213</v>
      </c>
      <c r="AL244" s="32">
        <f t="shared" si="239"/>
        <v>0.177393080247567</v>
      </c>
      <c r="AM244" s="32" t="str">
        <f t="shared" si="219"/>
        <v>1-0,0295870379464294i</v>
      </c>
      <c r="AN244" s="32">
        <f t="shared" si="240"/>
        <v>1.00043760066005</v>
      </c>
      <c r="AO244" s="32">
        <f t="shared" si="241"/>
        <v>-0.0295784090513735</v>
      </c>
      <c r="AP244" s="30" t="str">
        <f t="shared" si="242"/>
        <v>8,54273717827029-33,2393316107547i</v>
      </c>
      <c r="AQ244" s="32">
        <f t="shared" si="243"/>
        <v>30.7108317394472</v>
      </c>
      <c r="AR244" s="31">
        <f t="shared" si="244"/>
        <v>-75.5865343918133</v>
      </c>
      <c r="AS244" t="str">
        <f t="shared" si="220"/>
        <v>-0,000100699300699301</v>
      </c>
      <c r="AT244" t="str">
        <f t="shared" si="221"/>
        <v>0,00256911142680358i</v>
      </c>
      <c r="AU244">
        <f t="shared" si="245"/>
        <v>0.00256911142680358</v>
      </c>
      <c r="AV244">
        <f t="shared" si="246"/>
        <v>1.5707963267949</v>
      </c>
      <c r="AW244" t="str">
        <f t="shared" si="222"/>
        <v>1+0,131533792835134i</v>
      </c>
      <c r="AX244">
        <f t="shared" si="247"/>
        <v>1.00861347336708</v>
      </c>
      <c r="AY244">
        <f t="shared" si="248"/>
        <v>0.13078300973857</v>
      </c>
      <c r="AZ244" t="str">
        <f t="shared" si="223"/>
        <v>1+6,28843473405416i</v>
      </c>
      <c r="BA244">
        <f t="shared" si="249"/>
        <v>6.36744936410638</v>
      </c>
      <c r="BB244">
        <f t="shared" si="250"/>
        <v>1.41309471550798</v>
      </c>
      <c r="BC244" s="30" t="str">
        <f t="shared" si="251"/>
        <v>-0,237222648051495+0,0703989539270361i</v>
      </c>
      <c r="BD244" s="32">
        <f t="shared" si="252"/>
        <v>-12.1303150287951</v>
      </c>
      <c r="BE244" s="31">
        <f t="shared" si="253"/>
        <v>163.471048760809</v>
      </c>
      <c r="BF244" s="30" t="str">
        <f t="shared" si="254"/>
        <v>0,361092684673262+0,971166995892849i</v>
      </c>
      <c r="BG244" s="68">
        <f t="shared" si="255"/>
        <v>0.308235954079658</v>
      </c>
      <c r="BH244" s="31">
        <f t="shared" si="256"/>
        <v>69.6042025603596</v>
      </c>
      <c r="BI244" s="30" t="str">
        <f t="shared" si="263"/>
        <v>0,31348343959376+8,48652202518882i</v>
      </c>
      <c r="BJ244" s="68">
        <f t="shared" si="257"/>
        <v>18.5805167106521</v>
      </c>
      <c r="BK244" s="31">
        <f t="shared" si="264"/>
        <v>87.8845143689955</v>
      </c>
      <c r="BL244" s="32">
        <f t="shared" si="258"/>
        <v>0.308235954079658</v>
      </c>
      <c r="BM244" s="31">
        <f t="shared" si="259"/>
        <v>69.6042025603596</v>
      </c>
      <c r="BO244">
        <f t="shared" si="260"/>
        <v>0</v>
      </c>
      <c r="BP244">
        <f t="shared" si="261"/>
        <v>0</v>
      </c>
    </row>
    <row r="245" spans="14:68">
      <c r="N245" s="7">
        <v>27</v>
      </c>
      <c r="O245" s="18">
        <f t="shared" si="262"/>
        <v>1862.08713666287</v>
      </c>
      <c r="P245" s="86" t="str">
        <f t="shared" si="212"/>
        <v>60</v>
      </c>
      <c r="Q245" s="4" t="str">
        <f t="shared" si="213"/>
        <v>1+15,2877890226839i</v>
      </c>
      <c r="R245" s="4">
        <f t="shared" si="224"/>
        <v>15.3204599539992</v>
      </c>
      <c r="S245" s="4">
        <f t="shared" si="225"/>
        <v>1.50547769769803</v>
      </c>
      <c r="T245" s="4" t="str">
        <f t="shared" si="214"/>
        <v>1+0,183453468272207i</v>
      </c>
      <c r="U245" s="4">
        <f t="shared" si="226"/>
        <v>1.01668833721111</v>
      </c>
      <c r="V245" s="4">
        <f t="shared" si="227"/>
        <v>0.181436000298442</v>
      </c>
      <c r="W245" t="str">
        <f t="shared" si="215"/>
        <v>1-0,255933968013682i</v>
      </c>
      <c r="X245" s="4">
        <f t="shared" si="228"/>
        <v>1.03223165809969</v>
      </c>
      <c r="Y245" s="4">
        <f t="shared" si="229"/>
        <v>-0.250555729439854</v>
      </c>
      <c r="Z245" t="str">
        <f t="shared" si="216"/>
        <v>0,999971694950983+0,068288853506158i</v>
      </c>
      <c r="AA245" s="4">
        <f t="shared" si="230"/>
        <v>1.00230073242332</v>
      </c>
      <c r="AB245" s="4">
        <f t="shared" si="231"/>
        <v>0.0681849215303679</v>
      </c>
      <c r="AC245" s="67" t="str">
        <f t="shared" si="232"/>
        <v>-0,294930330555479-4,08997061220861i</v>
      </c>
      <c r="AD245" s="68">
        <f t="shared" si="233"/>
        <v>12.2569282980333</v>
      </c>
      <c r="AE245" s="31">
        <f t="shared" si="234"/>
        <v>-94.1244952201802</v>
      </c>
      <c r="AF245" s="32" t="str">
        <f t="shared" si="235"/>
        <v>326,048966736478</v>
      </c>
      <c r="AG245" s="32" t="str">
        <f t="shared" si="217"/>
        <v>1+9,82786437172538i</v>
      </c>
      <c r="AH245" s="32">
        <f t="shared" si="236"/>
        <v>9.87860911814153</v>
      </c>
      <c r="AI245" s="32">
        <f t="shared" si="237"/>
        <v>1.46939381242435</v>
      </c>
      <c r="AJ245" s="32" t="str">
        <f t="shared" si="218"/>
        <v>1+0,183453468272207i</v>
      </c>
      <c r="AK245" s="32">
        <f t="shared" si="238"/>
        <v>1.01668833721111</v>
      </c>
      <c r="AL245" s="32">
        <f t="shared" si="239"/>
        <v>0.181436000298442</v>
      </c>
      <c r="AM245" s="32" t="str">
        <f t="shared" si="219"/>
        <v>1-0,0302762085929262i</v>
      </c>
      <c r="AN245" s="32">
        <f t="shared" si="240"/>
        <v>1.00045821942086</v>
      </c>
      <c r="AO245" s="32">
        <f t="shared" si="241"/>
        <v>-0.0302669627939907</v>
      </c>
      <c r="AP245" s="30" t="str">
        <f t="shared" si="242"/>
        <v>8,38940097413399-32,506607687855i</v>
      </c>
      <c r="AQ245" s="32">
        <f t="shared" si="243"/>
        <v>30.519476501794</v>
      </c>
      <c r="AR245" s="31">
        <f t="shared" si="244"/>
        <v>-75.5287160524929</v>
      </c>
      <c r="AS245" t="str">
        <f t="shared" si="220"/>
        <v>-0,000100699300699301</v>
      </c>
      <c r="AT245" t="str">
        <f t="shared" si="221"/>
        <v>0,00262895371943653i</v>
      </c>
      <c r="AU245">
        <f t="shared" si="245"/>
        <v>0.00262895371943653</v>
      </c>
      <c r="AV245">
        <f t="shared" si="246"/>
        <v>1.5707963267949</v>
      </c>
      <c r="AW245" t="str">
        <f t="shared" si="222"/>
        <v>1+0,134597608456302i</v>
      </c>
      <c r="AX245">
        <f t="shared" si="247"/>
        <v>1.00901759955025</v>
      </c>
      <c r="AY245">
        <f t="shared" si="248"/>
        <v>0.133793517668151</v>
      </c>
      <c r="AZ245" t="str">
        <f t="shared" si="223"/>
        <v>1+6,43491119577256i</v>
      </c>
      <c r="BA245">
        <f t="shared" si="249"/>
        <v>6.51214880799564</v>
      </c>
      <c r="BB245">
        <f t="shared" si="250"/>
        <v>1.41662718913249</v>
      </c>
      <c r="BC245" s="30" t="str">
        <f t="shared" si="251"/>
        <v>-0,237032663882489+0,0702079754539113i</v>
      </c>
      <c r="BD245" s="32">
        <f t="shared" si="252"/>
        <v>-12.1386182309061</v>
      </c>
      <c r="BE245" s="31">
        <f t="shared" si="253"/>
        <v>163.500955192178</v>
      </c>
      <c r="BF245" s="30" t="str">
        <f t="shared" si="254"/>
        <v>0,357056678260469+0,948750168004648i</v>
      </c>
      <c r="BG245" s="68">
        <f t="shared" si="255"/>
        <v>0.118310067127236</v>
      </c>
      <c r="BH245" s="31">
        <f t="shared" si="256"/>
        <v>69.3764599719982</v>
      </c>
      <c r="BI245" s="30" t="str">
        <f t="shared" si="263"/>
        <v>0,29366105336152+8,29413067170029i</v>
      </c>
      <c r="BJ245" s="68">
        <f t="shared" si="257"/>
        <v>18.3808582708879</v>
      </c>
      <c r="BK245" s="31">
        <f t="shared" si="264"/>
        <v>87.9722391396856</v>
      </c>
      <c r="BL245" s="32">
        <f t="shared" si="258"/>
        <v>0.118310067127236</v>
      </c>
      <c r="BM245" s="31">
        <f t="shared" si="259"/>
        <v>69.3764599719982</v>
      </c>
      <c r="BO245">
        <f t="shared" si="260"/>
        <v>1862.08713666287</v>
      </c>
      <c r="BP245">
        <f t="shared" si="261"/>
        <v>69.3764599719982</v>
      </c>
    </row>
    <row r="246" spans="14:68">
      <c r="N246" s="7">
        <v>28</v>
      </c>
      <c r="O246" s="18">
        <f t="shared" si="262"/>
        <v>1905.46071796325</v>
      </c>
      <c r="P246" s="86" t="str">
        <f t="shared" si="212"/>
        <v>60</v>
      </c>
      <c r="Q246" s="4" t="str">
        <f t="shared" si="213"/>
        <v>1+15,6438873743791i</v>
      </c>
      <c r="R246" s="4">
        <f t="shared" si="224"/>
        <v>15.6758161568149</v>
      </c>
      <c r="S246" s="4">
        <f t="shared" si="225"/>
        <v>1.50696044846408</v>
      </c>
      <c r="T246" s="4" t="str">
        <f t="shared" si="214"/>
        <v>1+0,187726648492549i</v>
      </c>
      <c r="U246" s="4">
        <f t="shared" si="226"/>
        <v>1.01746808036137</v>
      </c>
      <c r="V246" s="4">
        <f t="shared" si="227"/>
        <v>0.185566892000477</v>
      </c>
      <c r="W246" t="str">
        <f t="shared" si="215"/>
        <v>1-0,261895435955007i</v>
      </c>
      <c r="X246" s="4">
        <f t="shared" si="228"/>
        <v>1.03372589179824</v>
      </c>
      <c r="Y246" s="4">
        <f t="shared" si="229"/>
        <v>-0.256142655237768</v>
      </c>
      <c r="Z246" t="str">
        <f t="shared" si="216"/>
        <v>0,999970360975121+0,0698795052437384i</v>
      </c>
      <c r="AA246" s="4">
        <f t="shared" si="230"/>
        <v>1.00240903232255</v>
      </c>
      <c r="AB246" s="4">
        <f t="shared" si="231"/>
        <v>0.0697681545743972</v>
      </c>
      <c r="AC246" s="67" t="str">
        <f t="shared" si="232"/>
        <v>-0,306962700562421-4,00433124981724i</v>
      </c>
      <c r="AD246" s="68">
        <f t="shared" si="233"/>
        <v>12.0760461081102</v>
      </c>
      <c r="AE246" s="31">
        <f t="shared" si="234"/>
        <v>-94.383587761074</v>
      </c>
      <c r="AF246" s="32" t="str">
        <f t="shared" si="235"/>
        <v>326,048966736478</v>
      </c>
      <c r="AG246" s="32" t="str">
        <f t="shared" si="217"/>
        <v>1+10,0567847406723i</v>
      </c>
      <c r="AH246" s="32">
        <f t="shared" si="236"/>
        <v>10.1063801294143</v>
      </c>
      <c r="AI246" s="32">
        <f t="shared" si="237"/>
        <v>1.47168675610182</v>
      </c>
      <c r="AJ246" s="32" t="str">
        <f t="shared" si="218"/>
        <v>1+0,187726648492549i</v>
      </c>
      <c r="AK246" s="32">
        <f t="shared" si="238"/>
        <v>1.01746808036137</v>
      </c>
      <c r="AL246" s="32">
        <f t="shared" si="239"/>
        <v>0.185566892000477</v>
      </c>
      <c r="AM246" s="32" t="str">
        <f t="shared" si="219"/>
        <v>1-0,0309814320859717i</v>
      </c>
      <c r="AN246" s="32">
        <f t="shared" si="240"/>
        <v>1.00047980945849</v>
      </c>
      <c r="AO246" s="32">
        <f t="shared" si="241"/>
        <v>-0.03097152529051</v>
      </c>
      <c r="AP246" s="30" t="str">
        <f t="shared" si="242"/>
        <v>8,24282771676551-31,7897281517079i</v>
      </c>
      <c r="AQ246" s="32">
        <f t="shared" si="243"/>
        <v>30.3283264241425</v>
      </c>
      <c r="AR246" s="31">
        <f t="shared" si="244"/>
        <v>-75.4637778451749</v>
      </c>
      <c r="AS246" t="str">
        <f t="shared" si="220"/>
        <v>-0,000100699300699301</v>
      </c>
      <c r="AT246" t="str">
        <f t="shared" si="221"/>
        <v>0,00269018991812982i</v>
      </c>
      <c r="AU246">
        <f t="shared" si="245"/>
        <v>0.00269018991812982</v>
      </c>
      <c r="AV246">
        <f t="shared" si="246"/>
        <v>1.5707963267949</v>
      </c>
      <c r="AW246" t="str">
        <f t="shared" si="222"/>
        <v>1+0,137732789511083i</v>
      </c>
      <c r="AX246">
        <f t="shared" si="247"/>
        <v>1.00944059820601</v>
      </c>
      <c r="AY246">
        <f t="shared" si="248"/>
        <v>0.136871625310181</v>
      </c>
      <c r="AZ246" t="str">
        <f t="shared" si="223"/>
        <v>1+6,58479953258302i</v>
      </c>
      <c r="BA246">
        <f t="shared" si="249"/>
        <v>6.66029915876949</v>
      </c>
      <c r="BB246">
        <f t="shared" si="250"/>
        <v>1.42008300546151</v>
      </c>
      <c r="BC246" s="30" t="str">
        <f t="shared" si="251"/>
        <v>-0,236834051916971+0,0700518561369716i</v>
      </c>
      <c r="BD246" s="32">
        <f t="shared" si="252"/>
        <v>-12.1468703377269</v>
      </c>
      <c r="BE246" s="31">
        <f t="shared" si="253"/>
        <v>163.522596305828</v>
      </c>
      <c r="BF246" s="30" t="str">
        <f t="shared" si="254"/>
        <v>0,353210056798551+0,926858688172751i</v>
      </c>
      <c r="BG246" s="68">
        <f t="shared" si="255"/>
        <v>-0.0708242296167131</v>
      </c>
      <c r="BH246" s="31">
        <f t="shared" si="256"/>
        <v>69.1390085447544</v>
      </c>
      <c r="BI246" s="30" t="str">
        <f t="shared" si="263"/>
        <v>0,274747175701788+8,10631550888468i</v>
      </c>
      <c r="BJ246" s="68">
        <f t="shared" si="257"/>
        <v>18.1814560864156</v>
      </c>
      <c r="BK246" s="31">
        <f t="shared" si="264"/>
        <v>88.0588184606536</v>
      </c>
      <c r="BL246" s="32">
        <f t="shared" si="258"/>
        <v>-0.0708242296167131</v>
      </c>
      <c r="BM246" s="31">
        <f t="shared" si="259"/>
        <v>69.1390085447544</v>
      </c>
      <c r="BO246">
        <f t="shared" si="260"/>
        <v>0</v>
      </c>
      <c r="BP246">
        <f t="shared" si="261"/>
        <v>0</v>
      </c>
    </row>
    <row r="247" spans="14:68">
      <c r="N247" s="7">
        <v>29</v>
      </c>
      <c r="O247" s="18">
        <f t="shared" si="262"/>
        <v>1949.84459975805</v>
      </c>
      <c r="P247" s="86" t="str">
        <f t="shared" si="212"/>
        <v>60</v>
      </c>
      <c r="Q247" s="4" t="str">
        <f t="shared" si="213"/>
        <v>1+16,0082803222314i</v>
      </c>
      <c r="R247" s="4">
        <f t="shared" si="224"/>
        <v>16.0394837471516</v>
      </c>
      <c r="S247" s="4">
        <f t="shared" si="225"/>
        <v>1.50840971935096</v>
      </c>
      <c r="T247" s="4" t="str">
        <f t="shared" si="214"/>
        <v>1+0,192099363866777i</v>
      </c>
      <c r="U247" s="4">
        <f t="shared" si="226"/>
        <v>1.01828393171945</v>
      </c>
      <c r="V247" s="4">
        <f t="shared" si="227"/>
        <v>0.189787381406228</v>
      </c>
      <c r="W247" t="str">
        <f t="shared" si="215"/>
        <v>1-0,26799576432307i</v>
      </c>
      <c r="X247" s="4">
        <f t="shared" si="228"/>
        <v>1.03528823508002</v>
      </c>
      <c r="Y247" s="4">
        <f t="shared" si="229"/>
        <v>-0.261842839459954</v>
      </c>
      <c r="Z247" t="str">
        <f t="shared" si="216"/>
        <v>0,999968964130913+0,0715072080199633i</v>
      </c>
      <c r="AA247" s="4">
        <f t="shared" si="230"/>
        <v>1.00252242370127</v>
      </c>
      <c r="AB247" s="4">
        <f t="shared" si="231"/>
        <v>0.0713879098352019</v>
      </c>
      <c r="AC247" s="67" t="str">
        <f t="shared" si="232"/>
        <v>-0,318500787304799-3,92074568547823i</v>
      </c>
      <c r="AD247" s="68">
        <f t="shared" si="233"/>
        <v>11.8959387740377</v>
      </c>
      <c r="AE247" s="31">
        <f t="shared" si="234"/>
        <v>-94.6442102745008</v>
      </c>
      <c r="AF247" s="32" t="str">
        <f t="shared" si="235"/>
        <v>326,048966736478</v>
      </c>
      <c r="AG247" s="32" t="str">
        <f t="shared" si="217"/>
        <v>1+10,2910373500059i</v>
      </c>
      <c r="AH247" s="32">
        <f t="shared" si="236"/>
        <v>10.3395091633605</v>
      </c>
      <c r="AI247" s="32">
        <f t="shared" si="237"/>
        <v>1.47392851679103</v>
      </c>
      <c r="AJ247" s="32" t="str">
        <f t="shared" si="218"/>
        <v>1+0,192099363866777i</v>
      </c>
      <c r="AK247" s="32">
        <f t="shared" si="238"/>
        <v>1.01828393171945</v>
      </c>
      <c r="AL247" s="32">
        <f t="shared" si="239"/>
        <v>0.189787381406228</v>
      </c>
      <c r="AM247" s="32" t="str">
        <f t="shared" si="219"/>
        <v>1-0,0317030823443968i</v>
      </c>
      <c r="AN247" s="32">
        <f t="shared" si="240"/>
        <v>1.0005024165039</v>
      </c>
      <c r="AO247" s="32">
        <f t="shared" si="241"/>
        <v>-0.031692467309687</v>
      </c>
      <c r="AP247" s="30" t="str">
        <f t="shared" si="242"/>
        <v>8,10272501919312-31,0884039505984i</v>
      </c>
      <c r="AQ247" s="32">
        <f t="shared" si="243"/>
        <v>30.1373987696578</v>
      </c>
      <c r="AR247" s="31">
        <f t="shared" si="244"/>
        <v>-75.3917119758885</v>
      </c>
      <c r="AS247" t="str">
        <f t="shared" si="220"/>
        <v>-0,000100699300699301</v>
      </c>
      <c r="AT247" t="str">
        <f t="shared" si="221"/>
        <v>0,00275285249112658i</v>
      </c>
      <c r="AU247">
        <f t="shared" si="245"/>
        <v>0.00275285249112658</v>
      </c>
      <c r="AV247">
        <f t="shared" si="246"/>
        <v>1.5707963267949</v>
      </c>
      <c r="AW247" t="str">
        <f t="shared" si="222"/>
        <v>1+0,14094099831397i</v>
      </c>
      <c r="AX247">
        <f t="shared" si="247"/>
        <v>1.0098833422756</v>
      </c>
      <c r="AY247">
        <f t="shared" si="248"/>
        <v>0.140018731280777</v>
      </c>
      <c r="AZ247" t="str">
        <f t="shared" si="223"/>
        <v>1+6,73817921726575i</v>
      </c>
      <c r="BA247">
        <f t="shared" si="249"/>
        <v>6.81197909303839</v>
      </c>
      <c r="BB247">
        <f t="shared" si="250"/>
        <v>1.42346366647136</v>
      </c>
      <c r="BC247" s="30" t="str">
        <f t="shared" si="251"/>
        <v>-0,23662643608182+0,0699303503538988i</v>
      </c>
      <c r="BD247" s="32">
        <f t="shared" si="252"/>
        <v>-12.1550877693834</v>
      </c>
      <c r="BE247" s="31">
        <f t="shared" si="253"/>
        <v>163.535978023862</v>
      </c>
      <c r="BF247" s="30" t="str">
        <f t="shared" si="254"/>
        <v>0,349544825623218+0,905479206693669i</v>
      </c>
      <c r="BG247" s="68">
        <f t="shared" si="255"/>
        <v>-0.259148995345746</v>
      </c>
      <c r="BH247" s="31">
        <f t="shared" si="256"/>
        <v>68.8917677493611</v>
      </c>
      <c r="BI247" s="30" t="str">
        <f t="shared" si="263"/>
        <v>0,256704036366214+7,92296462971555i</v>
      </c>
      <c r="BJ247" s="68">
        <f t="shared" si="257"/>
        <v>17.9823110002744</v>
      </c>
      <c r="BK247" s="31">
        <f t="shared" si="264"/>
        <v>88.1442660479733</v>
      </c>
      <c r="BL247" s="32">
        <f t="shared" si="258"/>
        <v>-0.259148995345746</v>
      </c>
      <c r="BM247" s="31">
        <f t="shared" si="259"/>
        <v>68.8917677493611</v>
      </c>
      <c r="BO247">
        <f t="shared" si="260"/>
        <v>0</v>
      </c>
      <c r="BP247">
        <f t="shared" si="261"/>
        <v>0</v>
      </c>
    </row>
    <row r="248" spans="14:68">
      <c r="N248" s="7">
        <v>30</v>
      </c>
      <c r="O248" s="18">
        <f t="shared" si="262"/>
        <v>1995.26231496888</v>
      </c>
      <c r="P248" s="86" t="str">
        <f t="shared" si="212"/>
        <v>60</v>
      </c>
      <c r="Q248" s="4" t="str">
        <f t="shared" si="213"/>
        <v>1+16,3811610722053i</v>
      </c>
      <c r="R248" s="4">
        <f t="shared" si="224"/>
        <v>16.4116555555353</v>
      </c>
      <c r="S248" s="4">
        <f t="shared" si="225"/>
        <v>1.50982625441532</v>
      </c>
      <c r="T248" s="4" t="str">
        <f t="shared" si="214"/>
        <v>1+0,196573932866464i</v>
      </c>
      <c r="U248" s="4">
        <f t="shared" si="226"/>
        <v>1.01913753295745</v>
      </c>
      <c r="V248" s="4">
        <f t="shared" si="227"/>
        <v>0.194099104562352</v>
      </c>
      <c r="W248" t="str">
        <f t="shared" si="215"/>
        <v>1-0,274238187592723i</v>
      </c>
      <c r="X248" s="4">
        <f t="shared" si="228"/>
        <v>1.03692168630719</v>
      </c>
      <c r="Y248" s="4">
        <f t="shared" si="229"/>
        <v>-0.267657822121551</v>
      </c>
      <c r="Z248" t="str">
        <f t="shared" si="216"/>
        <v>0,999967501455465+0,0731728248643907i</v>
      </c>
      <c r="AA248" s="4">
        <f t="shared" si="230"/>
        <v>1.00264114530859</v>
      </c>
      <c r="AB248" s="4">
        <f t="shared" si="231"/>
        <v>0.0730450127349755</v>
      </c>
      <c r="AC248" s="67" t="str">
        <f t="shared" si="232"/>
        <v>-0,329568476541782-3,83917377436754i</v>
      </c>
      <c r="AD248" s="68">
        <f t="shared" si="233"/>
        <v>11.7166417546898</v>
      </c>
      <c r="AE248" s="31">
        <f t="shared" si="234"/>
        <v>-94.9064471827732</v>
      </c>
      <c r="AF248" s="32" t="str">
        <f t="shared" si="235"/>
        <v>326,048966736478</v>
      </c>
      <c r="AG248" s="32" t="str">
        <f t="shared" si="217"/>
        <v>1+10,5307464035605i</v>
      </c>
      <c r="AH248" s="32">
        <f t="shared" si="236"/>
        <v>10.5781198620597</v>
      </c>
      <c r="AI248" s="32">
        <f t="shared" si="237"/>
        <v>1.47612019292608</v>
      </c>
      <c r="AJ248" s="32" t="str">
        <f t="shared" si="218"/>
        <v>1+0,196573932866464i</v>
      </c>
      <c r="AK248" s="32">
        <f t="shared" si="238"/>
        <v>1.01913753295745</v>
      </c>
      <c r="AL248" s="32">
        <f t="shared" si="239"/>
        <v>0.194099104562352</v>
      </c>
      <c r="AM248" s="32" t="str">
        <f t="shared" si="219"/>
        <v>1-0,032441541996721i</v>
      </c>
      <c r="AN248" s="32">
        <f t="shared" si="240"/>
        <v>1.00052608843904</v>
      </c>
      <c r="AO248" s="32">
        <f t="shared" si="241"/>
        <v>-0.0324301681050895</v>
      </c>
      <c r="AP248" s="30" t="str">
        <f t="shared" si="242"/>
        <v>7,9688126208115-30,4023483961908i</v>
      </c>
      <c r="AQ248" s="32">
        <f t="shared" si="243"/>
        <v>29.9467111573232</v>
      </c>
      <c r="AR248" s="31">
        <f t="shared" si="244"/>
        <v>-75.3125093713315</v>
      </c>
      <c r="AS248" t="str">
        <f t="shared" si="220"/>
        <v>-0,000100699300699301</v>
      </c>
      <c r="AT248" t="str">
        <f t="shared" si="221"/>
        <v>0,00281697466295244i</v>
      </c>
      <c r="AU248">
        <f t="shared" si="245"/>
        <v>0.00281697466295244</v>
      </c>
      <c r="AV248">
        <f t="shared" si="246"/>
        <v>1.5707963267949</v>
      </c>
      <c r="AW248" t="str">
        <f t="shared" si="222"/>
        <v>1+0,144223935899739i</v>
      </c>
      <c r="AX248">
        <f t="shared" si="247"/>
        <v>1.01034674428456</v>
      </c>
      <c r="AY248">
        <f t="shared" si="248"/>
        <v>0.143236254727837</v>
      </c>
      <c r="AZ248" t="str">
        <f t="shared" si="223"/>
        <v>1+6,89513157375987i</v>
      </c>
      <c r="BA248">
        <f t="shared" si="249"/>
        <v>6.96726915078356</v>
      </c>
      <c r="BB248">
        <f t="shared" si="250"/>
        <v>1.42677065537631</v>
      </c>
      <c r="BC248" s="30" t="str">
        <f t="shared" si="251"/>
        <v>-0,2364094253973+0,0698432199412901i</v>
      </c>
      <c r="BD248" s="32">
        <f t="shared" si="252"/>
        <v>-12.1632868902567</v>
      </c>
      <c r="BE248" s="31">
        <f t="shared" si="253"/>
        <v>163.541104017011</v>
      </c>
      <c r="BF248" s="30" t="str">
        <f t="shared" si="254"/>
        <v>0,346053352484291+0,88459874240579i</v>
      </c>
      <c r="BG248" s="68">
        <f t="shared" si="255"/>
        <v>-0.446645135566918</v>
      </c>
      <c r="BH248" s="31">
        <f t="shared" si="256"/>
        <v>68.6346568342378</v>
      </c>
      <c r="BI248" s="30" t="str">
        <f t="shared" si="263"/>
        <v>0,239495492982083+7,74396924761826i</v>
      </c>
      <c r="BJ248" s="68">
        <f t="shared" si="257"/>
        <v>17.7834242670664</v>
      </c>
      <c r="BK248" s="31">
        <f t="shared" si="264"/>
        <v>88.2285946456795</v>
      </c>
      <c r="BL248" s="32">
        <f t="shared" si="258"/>
        <v>-0.446645135566918</v>
      </c>
      <c r="BM248" s="31">
        <f t="shared" si="259"/>
        <v>68.6346568342378</v>
      </c>
      <c r="BO248">
        <f t="shared" si="260"/>
        <v>0</v>
      </c>
      <c r="BP248">
        <f t="shared" si="261"/>
        <v>0</v>
      </c>
    </row>
    <row r="249" spans="14:68">
      <c r="N249" s="7">
        <v>31</v>
      </c>
      <c r="O249" s="18">
        <f t="shared" si="262"/>
        <v>2041.73794466953</v>
      </c>
      <c r="P249" s="86" t="str">
        <f t="shared" si="212"/>
        <v>60</v>
      </c>
      <c r="Q249" s="4" t="str">
        <f t="shared" si="213"/>
        <v>1+16,7627273306099i</v>
      </c>
      <c r="R249" s="4">
        <f t="shared" si="224"/>
        <v>16.7925289209331</v>
      </c>
      <c r="S249" s="4">
        <f t="shared" si="225"/>
        <v>1.51121078197093</v>
      </c>
      <c r="T249" s="4" t="str">
        <f t="shared" si="214"/>
        <v>1+0,201152727967319i</v>
      </c>
      <c r="U249" s="4">
        <f t="shared" si="226"/>
        <v>1.02003059756494</v>
      </c>
      <c r="V249" s="4">
        <f t="shared" si="227"/>
        <v>0.19850370602032</v>
      </c>
      <c r="W249" t="str">
        <f t="shared" si="215"/>
        <v>1-0,280626015579407i</v>
      </c>
      <c r="X249" s="4">
        <f t="shared" si="228"/>
        <v>1.03862936633814</v>
      </c>
      <c r="Y249" s="4">
        <f t="shared" si="229"/>
        <v>-0.273589112742102</v>
      </c>
      <c r="Z249" t="str">
        <f t="shared" si="216"/>
        <v>0,999965969846247+0,0748772389091177i</v>
      </c>
      <c r="AA249" s="4">
        <f t="shared" si="230"/>
        <v>1.00276544702996</v>
      </c>
      <c r="AB249" s="4">
        <f t="shared" si="231"/>
        <v>0.0747403061347067</v>
      </c>
      <c r="AC249" s="67" t="str">
        <f t="shared" si="232"/>
        <v>-0,340188702011538-3,7595761347233i</v>
      </c>
      <c r="AD249" s="68">
        <f t="shared" si="233"/>
        <v>11.5381916355693</v>
      </c>
      <c r="AE249" s="31">
        <f t="shared" si="234"/>
        <v>-95.1703807708146</v>
      </c>
      <c r="AF249" s="32" t="str">
        <f t="shared" si="235"/>
        <v>326,048966736478</v>
      </c>
      <c r="AG249" s="32" t="str">
        <f t="shared" si="217"/>
        <v>1+10,7760389982492i</v>
      </c>
      <c r="AH249" s="32">
        <f t="shared" si="236"/>
        <v>10.8223387718084</v>
      </c>
      <c r="AI249" s="32">
        <f t="shared" si="237"/>
        <v>1.47826286229555</v>
      </c>
      <c r="AJ249" s="32" t="str">
        <f t="shared" si="218"/>
        <v>1+0,201152727967319i</v>
      </c>
      <c r="AK249" s="32">
        <f t="shared" si="238"/>
        <v>1.02003059756494</v>
      </c>
      <c r="AL249" s="32">
        <f t="shared" si="239"/>
        <v>0.19850370602032</v>
      </c>
      <c r="AM249" s="32" t="str">
        <f t="shared" si="219"/>
        <v>1-0,0331972025840262i</v>
      </c>
      <c r="AN249" s="32">
        <f t="shared" si="240"/>
        <v>1.00055087539785</v>
      </c>
      <c r="AO249" s="32">
        <f t="shared" si="241"/>
        <v>-0.0331850156019384</v>
      </c>
      <c r="AP249" s="30" t="str">
        <f t="shared" si="242"/>
        <v>7,84082192968777-29,7312773837381i</v>
      </c>
      <c r="AQ249" s="32">
        <f t="shared" si="243"/>
        <v>29.7562815869972</v>
      </c>
      <c r="AR249" s="31">
        <f t="shared" si="244"/>
        <v>-75.2261597848605</v>
      </c>
      <c r="AS249" t="str">
        <f t="shared" si="220"/>
        <v>-0,000100699300699301</v>
      </c>
      <c r="AT249" t="str">
        <f t="shared" si="221"/>
        <v>0,00288259043203168i</v>
      </c>
      <c r="AU249">
        <f t="shared" si="245"/>
        <v>0.00288259043203168</v>
      </c>
      <c r="AV249">
        <f t="shared" si="246"/>
        <v>1.5707963267949</v>
      </c>
      <c r="AW249" t="str">
        <f t="shared" si="222"/>
        <v>1+0,147583342925352i</v>
      </c>
      <c r="AX249">
        <f t="shared" si="247"/>
        <v>1.01083175806314</v>
      </c>
      <c r="AY249">
        <f t="shared" si="248"/>
        <v>0.14652563501141</v>
      </c>
      <c r="AZ249" t="str">
        <f t="shared" si="223"/>
        <v>1+7,05573982028222i</v>
      </c>
      <c r="BA249">
        <f t="shared" si="249"/>
        <v>7.12625177856608</v>
      </c>
      <c r="BB249">
        <f t="shared" si="250"/>
        <v>1.43000543610877</v>
      </c>
      <c r="BC249" s="30" t="str">
        <f t="shared" si="251"/>
        <v>-0,236182613527826+0,0697902333769873i</v>
      </c>
      <c r="BD249" s="32">
        <f t="shared" si="252"/>
        <v>-12.1714840352626</v>
      </c>
      <c r="BE249" s="31">
        <f t="shared" si="253"/>
        <v>163.537975693169</v>
      </c>
      <c r="BF249" s="30" t="str">
        <f t="shared" si="254"/>
        <v>0,342728352574615+0,864204668350191i</v>
      </c>
      <c r="BG249" s="68">
        <f t="shared" si="255"/>
        <v>-0.633292399693331</v>
      </c>
      <c r="BH249" s="31">
        <f t="shared" si="256"/>
        <v>68.3675949223544</v>
      </c>
      <c r="BI249" s="30" t="str">
        <f t="shared" si="263"/>
        <v>0,223086971647077+7,56922358835232i</v>
      </c>
      <c r="BJ249" s="68">
        <f t="shared" si="257"/>
        <v>17.5847975517346</v>
      </c>
      <c r="BK249" s="31">
        <f t="shared" si="264"/>
        <v>88.3118159083086</v>
      </c>
      <c r="BL249" s="32">
        <f t="shared" si="258"/>
        <v>-0.633292399693331</v>
      </c>
      <c r="BM249" s="31">
        <f t="shared" si="259"/>
        <v>68.3675949223544</v>
      </c>
      <c r="BO249">
        <f t="shared" si="260"/>
        <v>0</v>
      </c>
      <c r="BP249">
        <f t="shared" si="261"/>
        <v>0</v>
      </c>
    </row>
    <row r="250" spans="14:68">
      <c r="N250" s="7">
        <v>32</v>
      </c>
      <c r="O250" s="18">
        <f t="shared" si="262"/>
        <v>2089.29613085404</v>
      </c>
      <c r="P250" s="86" t="str">
        <f t="shared" si="212"/>
        <v>60</v>
      </c>
      <c r="Q250" s="4" t="str">
        <f t="shared" si="213"/>
        <v>1+17,1531814089263i</v>
      </c>
      <c r="R250" s="4">
        <f t="shared" si="224"/>
        <v>17.1823057954261</v>
      </c>
      <c r="S250" s="4">
        <f t="shared" si="225"/>
        <v>1.51256401486844</v>
      </c>
      <c r="T250" s="4" t="str">
        <f t="shared" si="214"/>
        <v>1+0,205838176907116i</v>
      </c>
      <c r="U250" s="4">
        <f t="shared" si="226"/>
        <v>1.02096491373232</v>
      </c>
      <c r="V250" s="4">
        <f t="shared" si="227"/>
        <v>0.203002837219504</v>
      </c>
      <c r="W250" t="str">
        <f t="shared" si="215"/>
        <v>1-0,287162635194079i</v>
      </c>
      <c r="X250" s="4">
        <f t="shared" si="228"/>
        <v>1.04041452270314</v>
      </c>
      <c r="Y250" s="4">
        <f t="shared" si="229"/>
        <v>-0.279638186192915</v>
      </c>
      <c r="Z250" t="str">
        <f t="shared" si="216"/>
        <v>0,999964366054511+0,0766213538570324i</v>
      </c>
      <c r="AA250" s="4">
        <f t="shared" si="230"/>
        <v>1.00289559040096</v>
      </c>
      <c r="AB250" s="4">
        <f t="shared" si="231"/>
        <v>0.0764746506150565</v>
      </c>
      <c r="AC250" s="67" t="str">
        <f t="shared" si="232"/>
        <v>-0,350383489562362-3,68191414482366i</v>
      </c>
      <c r="AD250" s="68">
        <f t="shared" si="233"/>
        <v>11.3606261562797</v>
      </c>
      <c r="AE250" s="31">
        <f t="shared" si="234"/>
        <v>-95.4360910729937</v>
      </c>
      <c r="AF250" s="32" t="str">
        <f t="shared" si="235"/>
        <v>326,048966736478</v>
      </c>
      <c r="AG250" s="32" t="str">
        <f t="shared" si="217"/>
        <v>1+11,0270451914526i</v>
      </c>
      <c r="AH250" s="32">
        <f t="shared" si="236"/>
        <v>11.0722954103627</v>
      </c>
      <c r="AI250" s="32">
        <f t="shared" si="237"/>
        <v>1.48035758223118</v>
      </c>
      <c r="AJ250" s="32" t="str">
        <f t="shared" si="218"/>
        <v>1+0,205838176907116i</v>
      </c>
      <c r="AK250" s="32">
        <f t="shared" si="238"/>
        <v>1.02096491373232</v>
      </c>
      <c r="AL250" s="32">
        <f t="shared" si="239"/>
        <v>0.203002837219504</v>
      </c>
      <c r="AM250" s="32" t="str">
        <f t="shared" si="219"/>
        <v>1-0,0339704647675588i</v>
      </c>
      <c r="AN250" s="32">
        <f t="shared" si="240"/>
        <v>1.00057682987191</v>
      </c>
      <c r="AO250" s="32">
        <f t="shared" si="241"/>
        <v>-0.0339574065875367</v>
      </c>
      <c r="AP250" s="30" t="str">
        <f t="shared" si="242"/>
        <v>7,71849557807417-29,0749095909859i</v>
      </c>
      <c r="AQ250" s="32">
        <f t="shared" si="243"/>
        <v>29.5661284643879</v>
      </c>
      <c r="AR250" s="31">
        <f t="shared" si="244"/>
        <v>-75.1326519108539</v>
      </c>
      <c r="AS250" t="str">
        <f t="shared" si="220"/>
        <v>-0,000100699300699301</v>
      </c>
      <c r="AT250" t="str">
        <f t="shared" si="221"/>
        <v>0,00294973458871357i</v>
      </c>
      <c r="AU250">
        <f t="shared" si="245"/>
        <v>0.00294973458871357</v>
      </c>
      <c r="AV250">
        <f t="shared" si="246"/>
        <v>1.5707963267949</v>
      </c>
      <c r="AW250" t="str">
        <f t="shared" si="222"/>
        <v>1+0,151021000592881i</v>
      </c>
      <c r="AX250">
        <f t="shared" si="247"/>
        <v>1.01133938053458</v>
      </c>
      <c r="AY250">
        <f t="shared" si="248"/>
        <v>0.149888331326946</v>
      </c>
      <c r="AZ250" t="str">
        <f t="shared" si="223"/>
        <v>1+7,22008911345111i</v>
      </c>
      <c r="BA250">
        <f t="shared" si="249"/>
        <v>7.28901137371696</v>
      </c>
      <c r="BB250">
        <f t="shared" si="250"/>
        <v>1.43316945286597</v>
      </c>
      <c r="BC250" s="30" t="str">
        <f t="shared" si="251"/>
        <v>-0,235945578333414+0,0697711649264926i</v>
      </c>
      <c r="BD250" s="32">
        <f t="shared" si="252"/>
        <v>-12.1796955361362</v>
      </c>
      <c r="BE250" s="31">
        <f t="shared" si="253"/>
        <v>163.526592193001</v>
      </c>
      <c r="BF250" s="30" t="str">
        <f t="shared" si="254"/>
        <v>0,339562874126949+0,84428469803662i</v>
      </c>
      <c r="BG250" s="68">
        <f t="shared" si="255"/>
        <v>-0.819069379856529</v>
      </c>
      <c r="BH250" s="31">
        <f t="shared" si="256"/>
        <v>68.0905011200069</v>
      </c>
      <c r="BI250" s="30" t="str">
        <f t="shared" si="263"/>
        <v>0,20744540926293+7,39862478639911i</v>
      </c>
      <c r="BJ250" s="68">
        <f t="shared" si="257"/>
        <v>17.3864329282517</v>
      </c>
      <c r="BK250" s="31">
        <f t="shared" si="264"/>
        <v>88.3939402821468</v>
      </c>
      <c r="BL250" s="32">
        <f t="shared" si="258"/>
        <v>-0.819069379856529</v>
      </c>
      <c r="BM250" s="31">
        <f t="shared" si="259"/>
        <v>68.0905011200069</v>
      </c>
      <c r="BO250">
        <f t="shared" si="260"/>
        <v>0</v>
      </c>
      <c r="BP250">
        <f t="shared" si="261"/>
        <v>0</v>
      </c>
    </row>
    <row r="251" spans="14:68">
      <c r="N251" s="7">
        <v>33</v>
      </c>
      <c r="O251" s="18">
        <f t="shared" si="262"/>
        <v>2137.96208950223</v>
      </c>
      <c r="P251" s="86" t="str">
        <f t="shared" si="212"/>
        <v>60</v>
      </c>
      <c r="Q251" s="4" t="str">
        <f t="shared" si="213"/>
        <v>1+17,5527303310747i</v>
      </c>
      <c r="R251" s="4">
        <f t="shared" si="224"/>
        <v>17.5811928513235</v>
      </c>
      <c r="S251" s="4">
        <f t="shared" si="225"/>
        <v>1.5138866507739</v>
      </c>
      <c r="T251" s="4" t="str">
        <f t="shared" si="214"/>
        <v>1+0,210632763972897i</v>
      </c>
      <c r="U251" s="4">
        <f t="shared" si="226"/>
        <v>1.02194234732634</v>
      </c>
      <c r="V251" s="4">
        <f t="shared" si="227"/>
        <v>0.207598154736201</v>
      </c>
      <c r="W251" t="str">
        <f t="shared" si="215"/>
        <v>1-0,293851512238974i</v>
      </c>
      <c r="X251" s="4">
        <f t="shared" si="228"/>
        <v>1.04228053385119</v>
      </c>
      <c r="Y251" s="4">
        <f t="shared" si="229"/>
        <v>-0.285806478332518</v>
      </c>
      <c r="Z251" t="str">
        <f t="shared" si="216"/>
        <v>0,999962686678399+0,078406094460965i</v>
      </c>
      <c r="AA251" s="4">
        <f t="shared" si="230"/>
        <v>1.00303184914424</v>
      </c>
      <c r="AB251" s="4">
        <f t="shared" si="231"/>
        <v>0.0782489247551114</v>
      </c>
      <c r="AC251" s="67" t="str">
        <f t="shared" si="232"/>
        <v>-0,36017399969861-3,6061499390758i</v>
      </c>
      <c r="AD251" s="68">
        <f t="shared" si="233"/>
        <v>11.1839842365948</v>
      </c>
      <c r="AE251" s="31">
        <f t="shared" si="234"/>
        <v>-95.7036557553071</v>
      </c>
      <c r="AF251" s="32" t="str">
        <f t="shared" si="235"/>
        <v>326,048966736478</v>
      </c>
      <c r="AG251" s="32" t="str">
        <f t="shared" si="217"/>
        <v>1+11,2838980699766i</v>
      </c>
      <c r="AH251" s="32">
        <f t="shared" si="236"/>
        <v>11.3281223357457</v>
      </c>
      <c r="AI251" s="32">
        <f t="shared" si="237"/>
        <v>1.48240538981002</v>
      </c>
      <c r="AJ251" s="32" t="str">
        <f t="shared" si="218"/>
        <v>1+0,210632763972897i</v>
      </c>
      <c r="AK251" s="32">
        <f t="shared" si="238"/>
        <v>1.02194234732634</v>
      </c>
      <c r="AL251" s="32">
        <f t="shared" si="239"/>
        <v>0.207598154736201</v>
      </c>
      <c r="AM251" s="32" t="str">
        <f t="shared" si="219"/>
        <v>1-0,0347617385411631i</v>
      </c>
      <c r="AN251" s="32">
        <f t="shared" si="240"/>
        <v>1.00060400682108</v>
      </c>
      <c r="AO251" s="32">
        <f t="shared" si="241"/>
        <v>-0.0347477469053086</v>
      </c>
      <c r="AP251" s="30" t="str">
        <f t="shared" si="242"/>
        <v>7,60158699113862-28,4329666571666i</v>
      </c>
      <c r="AQ251" s="32">
        <f t="shared" si="243"/>
        <v>29.3762706259123</v>
      </c>
      <c r="AR251" s="31">
        <f t="shared" si="244"/>
        <v>-75.0319735077345</v>
      </c>
      <c r="AS251" t="str">
        <f t="shared" si="220"/>
        <v>-0,000100699300699301</v>
      </c>
      <c r="AT251" t="str">
        <f t="shared" si="221"/>
        <v>0,00301844273371874i</v>
      </c>
      <c r="AU251">
        <f t="shared" si="245"/>
        <v>0.00301844273371874</v>
      </c>
      <c r="AV251">
        <f t="shared" si="246"/>
        <v>1.5707963267949</v>
      </c>
      <c r="AW251" t="str">
        <f t="shared" si="222"/>
        <v>1+0,154538731593922i</v>
      </c>
      <c r="AX251">
        <f t="shared" si="247"/>
        <v>1.0118706535732</v>
      </c>
      <c r="AY251">
        <f t="shared" si="248"/>
        <v>0.153325822267393</v>
      </c>
      <c r="AZ251" t="str">
        <f t="shared" si="223"/>
        <v>1+7,38826659343706i</v>
      </c>
      <c r="BA251">
        <f t="shared" si="249"/>
        <v>7.45563432953213</v>
      </c>
      <c r="BB251">
        <f t="shared" si="250"/>
        <v>1.43626412971875</v>
      </c>
      <c r="BC251" s="30" t="str">
        <f t="shared" si="251"/>
        <v>-0,235697881423546+0,0697857937512837i</v>
      </c>
      <c r="BD251" s="32">
        <f t="shared" si="252"/>
        <v>-12.187937747717</v>
      </c>
      <c r="BE251" s="31">
        <f t="shared" si="253"/>
        <v>163.50695039262</v>
      </c>
      <c r="BF251" s="30" t="str">
        <f t="shared" si="254"/>
        <v>0,336550284557355+0,824826872278273i</v>
      </c>
      <c r="BG251" s="68">
        <f t="shared" si="255"/>
        <v>-1.00395351112224</v>
      </c>
      <c r="BH251" s="31">
        <f t="shared" si="256"/>
        <v>67.8032946373131</v>
      </c>
      <c r="BI251" s="30" t="str">
        <f t="shared" si="263"/>
        <v>0,192539197605994+7,23207278562653i</v>
      </c>
      <c r="BJ251" s="68">
        <f t="shared" si="257"/>
        <v>17.1883328781953</v>
      </c>
      <c r="BK251" s="31">
        <f t="shared" si="264"/>
        <v>88.4749768848856</v>
      </c>
      <c r="BL251" s="32">
        <f t="shared" si="258"/>
        <v>-1.00395351112224</v>
      </c>
      <c r="BM251" s="31">
        <f t="shared" si="259"/>
        <v>67.8032946373131</v>
      </c>
      <c r="BO251">
        <f t="shared" si="260"/>
        <v>0</v>
      </c>
      <c r="BP251">
        <f t="shared" si="261"/>
        <v>0</v>
      </c>
    </row>
    <row r="252" spans="14:68">
      <c r="N252" s="7">
        <v>34</v>
      </c>
      <c r="O252" s="18">
        <f t="shared" si="262"/>
        <v>2187.76162394955</v>
      </c>
      <c r="P252" s="86" t="str">
        <f t="shared" si="212"/>
        <v>60</v>
      </c>
      <c r="Q252" s="4" t="str">
        <f t="shared" si="213"/>
        <v>1+17,9615859431826i</v>
      </c>
      <c r="R252" s="4">
        <f t="shared" si="224"/>
        <v>17.9894015907794</v>
      </c>
      <c r="S252" s="4">
        <f t="shared" si="225"/>
        <v>1.51517937244571</v>
      </c>
      <c r="T252" s="4" t="str">
        <f t="shared" si="214"/>
        <v>1+0,215539031318192i</v>
      </c>
      <c r="U252" s="4">
        <f t="shared" si="226"/>
        <v>1.0229648449588</v>
      </c>
      <c r="V252" s="4">
        <f t="shared" si="227"/>
        <v>0.212291318392161</v>
      </c>
      <c r="W252" t="str">
        <f t="shared" si="215"/>
        <v>1-0,300696193245245i</v>
      </c>
      <c r="X252" s="4">
        <f t="shared" si="228"/>
        <v>1.0442309134632</v>
      </c>
      <c r="Y252" s="4">
        <f t="shared" si="229"/>
        <v>-0.292095381428908</v>
      </c>
      <c r="Z252" t="str">
        <f t="shared" si="216"/>
        <v>0,999960928155729+0,0802324070140084i</v>
      </c>
      <c r="AA252" s="4">
        <f t="shared" si="230"/>
        <v>1.00317450973065</v>
      </c>
      <c r="AB252" s="4">
        <f t="shared" si="231"/>
        <v>0.0800640254083968</v>
      </c>
      <c r="AC252" s="67" t="str">
        <f t="shared" si="232"/>
        <v>-0,369580568597935-3,53224640328617i</v>
      </c>
      <c r="AD252" s="68">
        <f t="shared" si="233"/>
        <v>11.0083060009282</v>
      </c>
      <c r="AE252" s="31">
        <f t="shared" si="234"/>
        <v>-95.9731499931506</v>
      </c>
      <c r="AF252" s="32" t="str">
        <f t="shared" si="235"/>
        <v>326,048966736478</v>
      </c>
      <c r="AG252" s="32" t="str">
        <f t="shared" si="217"/>
        <v>1+11,5467338206174i</v>
      </c>
      <c r="AH252" s="32">
        <f t="shared" si="236"/>
        <v>11.5899552166602</v>
      </c>
      <c r="AI252" s="32">
        <f t="shared" si="237"/>
        <v>1.48440730206862</v>
      </c>
      <c r="AJ252" s="32" t="str">
        <f t="shared" si="218"/>
        <v>1+0,215539031318192i</v>
      </c>
      <c r="AK252" s="32">
        <f t="shared" si="238"/>
        <v>1.0229648449588</v>
      </c>
      <c r="AL252" s="32">
        <f t="shared" si="239"/>
        <v>0.212291318392161</v>
      </c>
      <c r="AM252" s="32" t="str">
        <f t="shared" si="219"/>
        <v>1-0,035571443448668i</v>
      </c>
      <c r="AN252" s="32">
        <f t="shared" si="240"/>
        <v>1.00063246378929</v>
      </c>
      <c r="AO252" s="32">
        <f t="shared" si="241"/>
        <v>-0.0355564516524842</v>
      </c>
      <c r="AP252" s="30" t="str">
        <f t="shared" si="242"/>
        <v>7,48985996887648-27,8051733433998i</v>
      </c>
      <c r="AQ252" s="32">
        <f t="shared" si="243"/>
        <v>29.1867273634059</v>
      </c>
      <c r="AR252" s="31">
        <f t="shared" si="244"/>
        <v>-74.9241115299425</v>
      </c>
      <c r="AS252" t="str">
        <f t="shared" si="220"/>
        <v>-0,000100699300699301</v>
      </c>
      <c r="AT252" t="str">
        <f t="shared" si="221"/>
        <v>0,00308875129701515i</v>
      </c>
      <c r="AU252">
        <f t="shared" si="245"/>
        <v>0.00308875129701515</v>
      </c>
      <c r="AV252">
        <f t="shared" si="246"/>
        <v>1.5707963267949</v>
      </c>
      <c r="AW252" t="str">
        <f t="shared" si="222"/>
        <v>1+0,158138401076017i</v>
      </c>
      <c r="AX252">
        <f t="shared" si="247"/>
        <v>1.01242666593432</v>
      </c>
      <c r="AY252">
        <f t="shared" si="248"/>
        <v>0.156839605319878</v>
      </c>
      <c r="AZ252" t="str">
        <f t="shared" si="223"/>
        <v>1+7,56036143016615i</v>
      </c>
      <c r="BA252">
        <f t="shared" si="249"/>
        <v>7.6262090814994</v>
      </c>
      <c r="BB252">
        <f t="shared" si="250"/>
        <v>1.43929087027853</v>
      </c>
      <c r="BC252" s="30" t="str">
        <f t="shared" si="251"/>
        <v>-0,235439067715488+0,0698339029768493i</v>
      </c>
      <c r="BD252" s="32">
        <f t="shared" si="252"/>
        <v>-12.1962270742303</v>
      </c>
      <c r="BE252" s="31">
        <f t="shared" si="253"/>
        <v>163.479044913344</v>
      </c>
      <c r="BF252" s="30" t="str">
        <f t="shared" si="254"/>
        <v>0,333684257133869+0,805819546561485i</v>
      </c>
      <c r="BG252" s="68">
        <f t="shared" si="255"/>
        <v>-1.18792107330217</v>
      </c>
      <c r="BH252" s="31">
        <f t="shared" si="256"/>
        <v>67.5058949201939</v>
      </c>
      <c r="BI252" s="30" t="str">
        <f t="shared" si="263"/>
        <v>0,178338129125626+7,0694702440143i</v>
      </c>
      <c r="BJ252" s="68">
        <f t="shared" si="257"/>
        <v>16.9905002891756</v>
      </c>
      <c r="BK252" s="31">
        <f t="shared" si="264"/>
        <v>88.5549333834019</v>
      </c>
      <c r="BL252" s="32">
        <f t="shared" si="258"/>
        <v>-1.18792107330217</v>
      </c>
      <c r="BM252" s="31">
        <f t="shared" si="259"/>
        <v>67.5058949201939</v>
      </c>
      <c r="BO252">
        <f t="shared" si="260"/>
        <v>0</v>
      </c>
      <c r="BP252">
        <f t="shared" si="261"/>
        <v>0</v>
      </c>
    </row>
    <row r="253" spans="14:68">
      <c r="N253" s="7">
        <v>35</v>
      </c>
      <c r="O253" s="18">
        <f t="shared" si="262"/>
        <v>2238.72113856834</v>
      </c>
      <c r="P253" s="86" t="str">
        <f t="shared" si="212"/>
        <v>60</v>
      </c>
      <c r="Q253" s="4" t="str">
        <f t="shared" si="213"/>
        <v>1+18,3799650259072i</v>
      </c>
      <c r="R253" s="4">
        <f t="shared" si="224"/>
        <v>18.4071484579652</v>
      </c>
      <c r="S253" s="4">
        <f t="shared" si="225"/>
        <v>1.51644284800978</v>
      </c>
      <c r="T253" s="4" t="str">
        <f t="shared" si="214"/>
        <v>1+0,220559580310887i</v>
      </c>
      <c r="U253" s="4">
        <f t="shared" si="226"/>
        <v>1.02403443714892</v>
      </c>
      <c r="V253" s="4">
        <f t="shared" si="227"/>
        <v>0.217083989216015</v>
      </c>
      <c r="W253" t="str">
        <f t="shared" si="215"/>
        <v>1-0,307700307353357i</v>
      </c>
      <c r="X253" s="4">
        <f t="shared" si="228"/>
        <v>1.04626931482547</v>
      </c>
      <c r="Y253" s="4">
        <f t="shared" si="229"/>
        <v>-0.298506239368219</v>
      </c>
      <c r="Z253" t="str">
        <f t="shared" si="216"/>
        <v>0,999959086756439+0,0821012598512516i</v>
      </c>
      <c r="AA253" s="4">
        <f t="shared" si="230"/>
        <v>1.00332387196555</v>
      </c>
      <c r="AB253" s="4">
        <f t="shared" si="231"/>
        <v>0.0819208679754497</v>
      </c>
      <c r="AC253" s="67" t="str">
        <f t="shared" si="232"/>
        <v>-0,378622747655206-3,46016716917734i</v>
      </c>
      <c r="AD253" s="68">
        <f t="shared" si="233"/>
        <v>10.8336328009888</v>
      </c>
      <c r="AE253" s="31">
        <f t="shared" si="234"/>
        <v>-96.2446463449802</v>
      </c>
      <c r="AF253" s="32" t="str">
        <f t="shared" si="235"/>
        <v>326,048966736478</v>
      </c>
      <c r="AG253" s="32" t="str">
        <f t="shared" si="217"/>
        <v>1+11,8156918023689i</v>
      </c>
      <c r="AH253" s="32">
        <f t="shared" si="236"/>
        <v>11.8579329045398</v>
      </c>
      <c r="AI253" s="32">
        <f t="shared" si="237"/>
        <v>1.48636431622802</v>
      </c>
      <c r="AJ253" s="32" t="str">
        <f t="shared" si="218"/>
        <v>1+0,220559580310887i</v>
      </c>
      <c r="AK253" s="32">
        <f t="shared" si="238"/>
        <v>1.02403443714892</v>
      </c>
      <c r="AL253" s="32">
        <f t="shared" si="239"/>
        <v>0.217083989216015</v>
      </c>
      <c r="AM253" s="32" t="str">
        <f t="shared" si="219"/>
        <v>1-0,036400008806333i</v>
      </c>
      <c r="AN253" s="32">
        <f t="shared" si="240"/>
        <v>1.00066226102572</v>
      </c>
      <c r="AO253" s="32">
        <f t="shared" si="241"/>
        <v>-0.0363839453814427</v>
      </c>
      <c r="AP253" s="30" t="str">
        <f t="shared" si="242"/>
        <v>7,383088281124-27,1912576757503i</v>
      </c>
      <c r="AQ253" s="32">
        <f t="shared" si="243"/>
        <v>28.9975184486412</v>
      </c>
      <c r="AR253" s="31">
        <f t="shared" si="244"/>
        <v>-74.8090522691641</v>
      </c>
      <c r="AS253" t="str">
        <f t="shared" si="220"/>
        <v>-0,000100699300699301</v>
      </c>
      <c r="AT253" t="str">
        <f t="shared" si="221"/>
        <v>0,0031606975571337i</v>
      </c>
      <c r="AU253">
        <f t="shared" si="245"/>
        <v>0.0031606975571337</v>
      </c>
      <c r="AV253">
        <f t="shared" si="246"/>
        <v>1.5707963267949</v>
      </c>
      <c r="AW253" t="str">
        <f t="shared" si="222"/>
        <v>1+0,16182191763157i</v>
      </c>
      <c r="AX253">
        <f t="shared" si="247"/>
        <v>1.01300855525803</v>
      </c>
      <c r="AY253">
        <f t="shared" si="248"/>
        <v>0.160431196292541</v>
      </c>
      <c r="AZ253" t="str">
        <f t="shared" si="223"/>
        <v>1+7,73646487059869i</v>
      </c>
      <c r="BA253">
        <f t="shared" si="249"/>
        <v>7.80082615458181</v>
      </c>
      <c r="BB253">
        <f t="shared" si="250"/>
        <v>1.44225105741834</v>
      </c>
      <c r="BC253" s="30" t="str">
        <f t="shared" si="251"/>
        <v>-0,235168664999216+0,069915278718216i</v>
      </c>
      <c r="BD253" s="32">
        <f t="shared" si="252"/>
        <v>-12.2045799955593</v>
      </c>
      <c r="BE253" s="31">
        <f t="shared" si="253"/>
        <v>163.442868138554</v>
      </c>
      <c r="BF253" s="30" t="str">
        <f t="shared" si="254"/>
        <v>0,330958758149064+0,787251378918181i</v>
      </c>
      <c r="BG253" s="68">
        <f t="shared" si="255"/>
        <v>-1.37094719457053</v>
      </c>
      <c r="BH253" s="31">
        <f t="shared" si="256"/>
        <v>67.1982217935734</v>
      </c>
      <c r="BI253" s="30" t="str">
        <f t="shared" si="263"/>
        <v>0,164813344455625+6,91072244223186i</v>
      </c>
      <c r="BJ253" s="68">
        <f t="shared" si="257"/>
        <v>16.7929384530818</v>
      </c>
      <c r="BK253" s="31">
        <f t="shared" si="264"/>
        <v>88.6338158693895</v>
      </c>
      <c r="BL253" s="32">
        <f t="shared" si="258"/>
        <v>-1.37094719457053</v>
      </c>
      <c r="BM253" s="31">
        <f t="shared" si="259"/>
        <v>67.1982217935734</v>
      </c>
      <c r="BO253">
        <f t="shared" si="260"/>
        <v>0</v>
      </c>
      <c r="BP253">
        <f t="shared" si="261"/>
        <v>0</v>
      </c>
    </row>
    <row r="254" spans="14:68">
      <c r="N254" s="7">
        <v>36</v>
      </c>
      <c r="O254" s="18">
        <f t="shared" si="262"/>
        <v>2290.86765276777</v>
      </c>
      <c r="P254" s="86" t="str">
        <f t="shared" si="212"/>
        <v>60</v>
      </c>
      <c r="Q254" s="4" t="str">
        <f t="shared" si="213"/>
        <v>1+18,8080894093762i</v>
      </c>
      <c r="R254" s="4">
        <f t="shared" si="224"/>
        <v>18.8346549538633</v>
      </c>
      <c r="S254" s="4">
        <f t="shared" si="225"/>
        <v>1.51767773123263</v>
      </c>
      <c r="T254" s="4" t="str">
        <f t="shared" si="214"/>
        <v>1+0,225697072912514i</v>
      </c>
      <c r="U254" s="4">
        <f t="shared" si="226"/>
        <v>1.02515324157966</v>
      </c>
      <c r="V254" s="4">
        <f t="shared" si="227"/>
        <v>0.221977827251099</v>
      </c>
      <c r="W254" t="str">
        <f t="shared" si="215"/>
        <v>1-0,314867568237324i</v>
      </c>
      <c r="X254" s="4">
        <f t="shared" si="228"/>
        <v>1.04839953525728</v>
      </c>
      <c r="Y254" s="4">
        <f t="shared" si="229"/>
        <v>-0.305040342650783</v>
      </c>
      <c r="Z254" t="str">
        <f t="shared" si="216"/>
        <v>0,999957158574673+0,084013643863207i</v>
      </c>
      <c r="AA254" s="4">
        <f t="shared" si="230"/>
        <v>1.00348024960131</v>
      </c>
      <c r="AB254" s="4">
        <f t="shared" si="231"/>
        <v>0.0838203866722264</v>
      </c>
      <c r="AC254" s="67" t="str">
        <f t="shared" si="232"/>
        <v>-0,387319341607841-3,38987660821022i</v>
      </c>
      <c r="AD254" s="68">
        <f t="shared" si="233"/>
        <v>10.6600072363957</v>
      </c>
      <c r="AE254" s="31">
        <f t="shared" si="234"/>
        <v>-96.5182146222355</v>
      </c>
      <c r="AF254" s="32" t="str">
        <f t="shared" si="235"/>
        <v>326,048966736478</v>
      </c>
      <c r="AG254" s="32" t="str">
        <f t="shared" si="217"/>
        <v>1+12,0909146203133i</v>
      </c>
      <c r="AH254" s="32">
        <f t="shared" si="236"/>
        <v>12.1321975072823</v>
      </c>
      <c r="AI254" s="32">
        <f t="shared" si="237"/>
        <v>1.48827740992832</v>
      </c>
      <c r="AJ254" s="32" t="str">
        <f t="shared" si="218"/>
        <v>1+0,225697072912514i</v>
      </c>
      <c r="AK254" s="32">
        <f t="shared" si="238"/>
        <v>1.02515324157966</v>
      </c>
      <c r="AL254" s="32">
        <f t="shared" si="239"/>
        <v>0.221977827251099</v>
      </c>
      <c r="AM254" s="32" t="str">
        <f t="shared" si="219"/>
        <v>1-0,0372478739304782i</v>
      </c>
      <c r="AN254" s="32">
        <f t="shared" si="240"/>
        <v>1.00069346161167</v>
      </c>
      <c r="AO254" s="32">
        <f t="shared" si="241"/>
        <v>-0.0372306623047405</v>
      </c>
      <c r="AP254" s="30" t="str">
        <f t="shared" si="242"/>
        <v>7,28105527555601-26,5909510721197i</v>
      </c>
      <c r="AQ254" s="32">
        <f t="shared" si="243"/>
        <v>28.808664157607</v>
      </c>
      <c r="AR254" s="31">
        <f t="shared" si="244"/>
        <v>-74.6867815051204</v>
      </c>
      <c r="AS254" t="str">
        <f t="shared" si="220"/>
        <v>-0,000100699300699301</v>
      </c>
      <c r="AT254" t="str">
        <f t="shared" si="221"/>
        <v>0,0032343196609338i</v>
      </c>
      <c r="AU254">
        <f t="shared" si="245"/>
        <v>0.0032343196609338</v>
      </c>
      <c r="AV254">
        <f t="shared" si="246"/>
        <v>1.5707963267949</v>
      </c>
      <c r="AW254" t="str">
        <f t="shared" si="222"/>
        <v>1+0,165591234309819i</v>
      </c>
      <c r="AX254">
        <f t="shared" si="247"/>
        <v>1.0136175101488</v>
      </c>
      <c r="AY254">
        <f t="shared" si="248"/>
        <v>0.164102128666891</v>
      </c>
      <c r="AZ254" t="str">
        <f t="shared" si="223"/>
        <v>1+7,91667028710986i</v>
      </c>
      <c r="BA254">
        <f t="shared" si="249"/>
        <v>7.97957821158538</v>
      </c>
      <c r="BB254">
        <f t="shared" si="250"/>
        <v>1.44514605304442</v>
      </c>
      <c r="BC254" s="30" t="str">
        <f t="shared" si="251"/>
        <v>-0,234886183511415+0,0700297090607612i</v>
      </c>
      <c r="BD254" s="32">
        <f t="shared" si="252"/>
        <v>-12.2130130935035</v>
      </c>
      <c r="BE254" s="31">
        <f t="shared" si="253"/>
        <v>163.398410237709</v>
      </c>
      <c r="BF254" s="30" t="str">
        <f t="shared" si="254"/>
        <v>0,328368034575261+0,769111318270716i</v>
      </c>
      <c r="BG254" s="68">
        <f t="shared" si="255"/>
        <v>-1.55300585710781</v>
      </c>
      <c r="BH254" s="31">
        <f t="shared" si="256"/>
        <v>66.8801956154734</v>
      </c>
      <c r="BI254" s="30" t="str">
        <f t="shared" si="263"/>
        <v>0,151937281618473+6,75573719587147i</v>
      </c>
      <c r="BJ254" s="68">
        <f t="shared" si="257"/>
        <v>16.5956510641034</v>
      </c>
      <c r="BK254" s="31">
        <f t="shared" si="264"/>
        <v>88.7116287325884</v>
      </c>
      <c r="BL254" s="32">
        <f t="shared" si="258"/>
        <v>-1.55300585710781</v>
      </c>
      <c r="BM254" s="31">
        <f t="shared" si="259"/>
        <v>66.8801956154734</v>
      </c>
      <c r="BO254">
        <f t="shared" si="260"/>
        <v>0</v>
      </c>
      <c r="BP254">
        <f t="shared" si="261"/>
        <v>0</v>
      </c>
    </row>
    <row r="255" spans="14:68">
      <c r="N255" s="7">
        <v>37</v>
      </c>
      <c r="O255" s="18">
        <f t="shared" si="262"/>
        <v>2344.22881531992</v>
      </c>
      <c r="P255" s="86" t="str">
        <f t="shared" si="212"/>
        <v>60</v>
      </c>
      <c r="Q255" s="4" t="str">
        <f t="shared" si="213"/>
        <v>1+19,2461860908045i</v>
      </c>
      <c r="R255" s="4">
        <f t="shared" si="224"/>
        <v>19.2721477537372</v>
      </c>
      <c r="S255" s="4">
        <f t="shared" si="225"/>
        <v>1.51888466179222</v>
      </c>
      <c r="T255" s="4" t="str">
        <f t="shared" si="214"/>
        <v>1+0,230954233089654i</v>
      </c>
      <c r="U255" s="4">
        <f t="shared" si="226"/>
        <v>1.02632346644809</v>
      </c>
      <c r="V255" s="4">
        <f t="shared" si="227"/>
        <v>0.226974489203117</v>
      </c>
      <c r="W255" t="str">
        <f t="shared" si="215"/>
        <v>1-0,322201776073737i</v>
      </c>
      <c r="X255" s="4">
        <f t="shared" si="228"/>
        <v>1.05062552058527</v>
      </c>
      <c r="Y255" s="4">
        <f t="shared" si="229"/>
        <v>-0.311698923176771</v>
      </c>
      <c r="Z255" t="str">
        <f t="shared" si="216"/>
        <v>0,999955139520501+0,0859705730211908i</v>
      </c>
      <c r="AA255" s="4">
        <f t="shared" si="230"/>
        <v>1.00364397097729</v>
      </c>
      <c r="AB255" s="4">
        <f t="shared" si="231"/>
        <v>0.0857635347935334</v>
      </c>
      <c r="AC255" s="67" t="str">
        <f t="shared" si="232"/>
        <v>-0,395688445296044-3,32133982476733i</v>
      </c>
      <c r="AD255" s="68">
        <f t="shared" si="233"/>
        <v>10.4874731730113</v>
      </c>
      <c r="AE255" s="31">
        <f t="shared" si="234"/>
        <v>-96.7939217559677</v>
      </c>
      <c r="AF255" s="32" t="str">
        <f t="shared" si="235"/>
        <v>326,048966736478</v>
      </c>
      <c r="AG255" s="32" t="str">
        <f t="shared" si="217"/>
        <v>1+12,3725482012315i</v>
      </c>
      <c r="AH255" s="32">
        <f t="shared" si="236"/>
        <v>12.4128944647007</v>
      </c>
      <c r="AI255" s="32">
        <f t="shared" si="237"/>
        <v>1.49014754147168</v>
      </c>
      <c r="AJ255" s="32" t="str">
        <f t="shared" si="218"/>
        <v>1+0,230954233089654i</v>
      </c>
      <c r="AK255" s="32">
        <f t="shared" si="238"/>
        <v>1.02632346644809</v>
      </c>
      <c r="AL255" s="32">
        <f t="shared" si="239"/>
        <v>0.226974489203117</v>
      </c>
      <c r="AM255" s="32" t="str">
        <f t="shared" si="219"/>
        <v>1-0,0381154883704154i</v>
      </c>
      <c r="AN255" s="32">
        <f t="shared" si="240"/>
        <v>1.00072613159331</v>
      </c>
      <c r="AO255" s="32">
        <f t="shared" si="241"/>
        <v>-0.0380970465038346</v>
      </c>
      <c r="AP255" s="30" t="str">
        <f t="shared" si="242"/>
        <v>7,18355349851966-26,0039884540925i</v>
      </c>
      <c r="AQ255" s="32">
        <f t="shared" si="243"/>
        <v>28.620185294498</v>
      </c>
      <c r="AR255" s="31">
        <f t="shared" si="244"/>
        <v>-74.5572846662301</v>
      </c>
      <c r="AS255" t="str">
        <f t="shared" si="220"/>
        <v>-0,000100699300699301</v>
      </c>
      <c r="AT255" t="str">
        <f t="shared" si="221"/>
        <v>0,00330965664382943i</v>
      </c>
      <c r="AU255">
        <f t="shared" si="245"/>
        <v>0.00330965664382943</v>
      </c>
      <c r="AV255">
        <f t="shared" si="246"/>
        <v>1.5707963267949</v>
      </c>
      <c r="AW255" t="str">
        <f t="shared" si="222"/>
        <v>1+0,169448349652359i</v>
      </c>
      <c r="AX255">
        <f t="shared" si="247"/>
        <v>1.01425477233282</v>
      </c>
      <c r="AY255">
        <f t="shared" si="248"/>
        <v>0.167853952870818</v>
      </c>
      <c r="AZ255" t="str">
        <f t="shared" si="223"/>
        <v>1+8,1010732269968i</v>
      </c>
      <c r="BA255">
        <f t="shared" si="249"/>
        <v>8.16256010263718</v>
      </c>
      <c r="BB255">
        <f t="shared" si="250"/>
        <v>1.44797719791475</v>
      </c>
      <c r="BC255" s="30" t="str">
        <f t="shared" si="251"/>
        <v>-0,234591115521215+0,0701769829940799i</v>
      </c>
      <c r="BD255" s="32">
        <f t="shared" si="252"/>
        <v>-12.2215430780171</v>
      </c>
      <c r="BE255" s="31">
        <f t="shared" si="253"/>
        <v>163.345659197609</v>
      </c>
      <c r="BF255" s="30" t="str">
        <f t="shared" si="254"/>
        <v>0,325906602181111+0,75138859322071i</v>
      </c>
      <c r="BG255" s="68">
        <f t="shared" si="255"/>
        <v>-1.73406990500576</v>
      </c>
      <c r="BH255" s="31">
        <f t="shared" si="256"/>
        <v>66.5517374416411</v>
      </c>
      <c r="BI255" s="30" t="str">
        <f t="shared" si="263"/>
        <v>0,139683626897046+6,60442477114903i</v>
      </c>
      <c r="BJ255" s="68">
        <f t="shared" si="257"/>
        <v>16.398642216481</v>
      </c>
      <c r="BK255" s="31">
        <f t="shared" si="264"/>
        <v>88.7883745313787</v>
      </c>
      <c r="BL255" s="32">
        <f t="shared" si="258"/>
        <v>-1.73406990500576</v>
      </c>
      <c r="BM255" s="31">
        <f t="shared" si="259"/>
        <v>66.5517374416411</v>
      </c>
      <c r="BO255">
        <f t="shared" si="260"/>
        <v>0</v>
      </c>
      <c r="BP255">
        <f t="shared" si="261"/>
        <v>0</v>
      </c>
    </row>
    <row r="256" spans="14:68">
      <c r="N256" s="7">
        <v>38</v>
      </c>
      <c r="O256" s="18">
        <f t="shared" si="262"/>
        <v>2398.83291901949</v>
      </c>
      <c r="P256" s="86" t="str">
        <f t="shared" si="212"/>
        <v>60</v>
      </c>
      <c r="Q256" s="4" t="str">
        <f t="shared" si="213"/>
        <v>1+19,6944873548517i</v>
      </c>
      <c r="R256" s="4">
        <f t="shared" si="224"/>
        <v>19.7198588273449</v>
      </c>
      <c r="S256" s="4">
        <f t="shared" si="225"/>
        <v>1.52006426554621</v>
      </c>
      <c r="T256" s="4" t="str">
        <f t="shared" si="214"/>
        <v>1+0,23633384825822i</v>
      </c>
      <c r="U256" s="4">
        <f t="shared" si="226"/>
        <v>1.02754741390971</v>
      </c>
      <c r="V256" s="4">
        <f t="shared" si="227"/>
        <v>0.232075625921199</v>
      </c>
      <c r="W256" t="str">
        <f t="shared" si="215"/>
        <v>1-0,329706819556669i</v>
      </c>
      <c r="X256" s="4">
        <f t="shared" si="228"/>
        <v>1.05295136965682</v>
      </c>
      <c r="Y256" s="4">
        <f t="shared" si="229"/>
        <v>-0.318483148825189</v>
      </c>
      <c r="Z256" t="str">
        <f t="shared" si="216"/>
        <v>0,999953025311238+0,0879730849149457i</v>
      </c>
      <c r="AA256" s="4">
        <f t="shared" si="230"/>
        <v>1.00381537968819</v>
      </c>
      <c r="AB256" s="4">
        <f t="shared" si="231"/>
        <v>0.0877512849706308</v>
      </c>
      <c r="AC256" s="67" t="str">
        <f t="shared" si="232"/>
        <v>-0,403747479110495-3,25452264874686i</v>
      </c>
      <c r="AD256" s="68">
        <f t="shared" si="233"/>
        <v>10.3160757587369</v>
      </c>
      <c r="AE256" s="31">
        <f t="shared" si="234"/>
        <v>-97.0718316606967</v>
      </c>
      <c r="AF256" s="32" t="str">
        <f t="shared" si="235"/>
        <v>326,048966736478</v>
      </c>
      <c r="AG256" s="32" t="str">
        <f t="shared" si="217"/>
        <v>1+12,6607418709761i</v>
      </c>
      <c r="AH256" s="32">
        <f t="shared" si="236"/>
        <v>12.7001726257357</v>
      </c>
      <c r="AI256" s="32">
        <f t="shared" si="237"/>
        <v>1.4919756500728</v>
      </c>
      <c r="AJ256" s="32" t="str">
        <f t="shared" si="218"/>
        <v>1+0,23633384825822i</v>
      </c>
      <c r="AK256" s="32">
        <f t="shared" si="238"/>
        <v>1.02754741390971</v>
      </c>
      <c r="AL256" s="32">
        <f t="shared" si="239"/>
        <v>0.232075625921199</v>
      </c>
      <c r="AM256" s="32" t="str">
        <f t="shared" si="219"/>
        <v>1-0,0390033121468048i</v>
      </c>
      <c r="AN256" s="32">
        <f t="shared" si="240"/>
        <v>1.00076034012066</v>
      </c>
      <c r="AO256" s="32">
        <f t="shared" si="241"/>
        <v>-0.0389835521415123</v>
      </c>
      <c r="AP256" s="30" t="str">
        <f t="shared" si="242"/>
        <v>7,09038432852457-25,4301083447815i</v>
      </c>
      <c r="AQ256" s="32">
        <f t="shared" si="243"/>
        <v>28.4321032153522</v>
      </c>
      <c r="AR256" s="31">
        <f t="shared" si="244"/>
        <v>-74.4205470004541</v>
      </c>
      <c r="AS256" t="str">
        <f t="shared" si="220"/>
        <v>-0,000100699300699301</v>
      </c>
      <c r="AT256" t="str">
        <f t="shared" si="221"/>
        <v>0,0033867484504861i</v>
      </c>
      <c r="AU256">
        <f t="shared" si="245"/>
        <v>0.0033867484504861</v>
      </c>
      <c r="AV256">
        <f t="shared" si="246"/>
        <v>1.5707963267949</v>
      </c>
      <c r="AW256" t="str">
        <f t="shared" si="222"/>
        <v>1+0,173395308752798i</v>
      </c>
      <c r="AX256">
        <f t="shared" si="247"/>
        <v>1.01492163889508</v>
      </c>
      <c r="AY256">
        <f t="shared" si="248"/>
        <v>0.171688235467247</v>
      </c>
      <c r="AZ256" t="str">
        <f t="shared" si="223"/>
        <v>1+8,28977146313909i</v>
      </c>
      <c r="BA256">
        <f t="shared" si="249"/>
        <v>8.34986891580192</v>
      </c>
      <c r="BB256">
        <f t="shared" si="250"/>
        <v>1.45074581150116</v>
      </c>
      <c r="BC256" s="30" t="str">
        <f t="shared" si="251"/>
        <v>-0,234282934930651+0,0703568892967341i</v>
      </c>
      <c r="BD256" s="32">
        <f t="shared" si="252"/>
        <v>-12.2301868134178</v>
      </c>
      <c r="BE256" s="31">
        <f t="shared" si="253"/>
        <v>163.284600860976</v>
      </c>
      <c r="BF256" s="30" t="str">
        <f t="shared" si="254"/>
        <v>0,323569234088455+0,734072701255078i</v>
      </c>
      <c r="BG256" s="68">
        <f t="shared" si="255"/>
        <v>-1.91411105468083</v>
      </c>
      <c r="BH256" s="31">
        <f t="shared" si="256"/>
        <v>66.2127692002798</v>
      </c>
      <c r="BI256" s="30" t="str">
        <f t="shared" si="263"/>
        <v>0,128027267344717+6,45669780389315i</v>
      </c>
      <c r="BJ256" s="68">
        <f t="shared" si="257"/>
        <v>16.2019164019344</v>
      </c>
      <c r="BK256" s="31">
        <f t="shared" si="264"/>
        <v>88.8640538605223</v>
      </c>
      <c r="BL256" s="32">
        <f t="shared" si="258"/>
        <v>-1.91411105468083</v>
      </c>
      <c r="BM256" s="31">
        <f t="shared" si="259"/>
        <v>66.2127692002798</v>
      </c>
      <c r="BO256">
        <f t="shared" si="260"/>
        <v>0</v>
      </c>
      <c r="BP256">
        <f t="shared" si="261"/>
        <v>0</v>
      </c>
    </row>
    <row r="257" spans="14:68">
      <c r="N257" s="7">
        <v>39</v>
      </c>
      <c r="O257" s="18">
        <f t="shared" si="262"/>
        <v>2454.70891568503</v>
      </c>
      <c r="P257" s="86" t="str">
        <f t="shared" si="212"/>
        <v>60</v>
      </c>
      <c r="Q257" s="4" t="str">
        <f t="shared" si="213"/>
        <v>1+20,1532308967816i</v>
      </c>
      <c r="R257" s="4">
        <f t="shared" si="224"/>
        <v>20.1780255619571</v>
      </c>
      <c r="S257" s="4">
        <f t="shared" si="225"/>
        <v>1.52121715479766</v>
      </c>
      <c r="T257" s="4" t="str">
        <f t="shared" si="214"/>
        <v>1+0,241838770761379i</v>
      </c>
      <c r="U257" s="4">
        <f t="shared" si="226"/>
        <v>1.02882748361588</v>
      </c>
      <c r="V257" s="4">
        <f t="shared" si="227"/>
        <v>0.237282879706007</v>
      </c>
      <c r="W257" t="str">
        <f t="shared" si="215"/>
        <v>1-0,337386677959514i</v>
      </c>
      <c r="X257" s="4">
        <f t="shared" si="228"/>
        <v>1.05538133888399</v>
      </c>
      <c r="Y257" s="4">
        <f t="shared" si="229"/>
        <v>-0.325394117831591</v>
      </c>
      <c r="Z257" t="str">
        <f t="shared" si="216"/>
        <v>0,999950811462361+0,0900222413027835i</v>
      </c>
      <c r="AA257" s="4">
        <f t="shared" si="230"/>
        <v>1.00399483528224</v>
      </c>
      <c r="AB257" s="4">
        <f t="shared" si="231"/>
        <v>0.0897846294220734</v>
      </c>
      <c r="AC257" s="67" t="str">
        <f t="shared" si="232"/>
        <v>-0,411513223178757-3,18939162761394i</v>
      </c>
      <c r="AD257" s="68">
        <f t="shared" si="233"/>
        <v>10.1458614365041</v>
      </c>
      <c r="AE257" s="31">
        <f t="shared" si="234"/>
        <v>-97.3520050961043</v>
      </c>
      <c r="AF257" s="32" t="str">
        <f t="shared" si="235"/>
        <v>326,048966736478</v>
      </c>
      <c r="AG257" s="32" t="str">
        <f t="shared" si="217"/>
        <v>1+12,9556484336453i</v>
      </c>
      <c r="AH257" s="32">
        <f t="shared" si="236"/>
        <v>12.994184327468</v>
      </c>
      <c r="AI257" s="32">
        <f t="shared" si="237"/>
        <v>1.49376265611576</v>
      </c>
      <c r="AJ257" s="32" t="str">
        <f t="shared" si="218"/>
        <v>1+0,241838770761379i</v>
      </c>
      <c r="AK257" s="32">
        <f t="shared" si="238"/>
        <v>1.02882748361588</v>
      </c>
      <c r="AL257" s="32">
        <f t="shared" si="239"/>
        <v>0.237282879706007</v>
      </c>
      <c r="AM257" s="32" t="str">
        <f t="shared" si="219"/>
        <v>1-0,0399118159955641i</v>
      </c>
      <c r="AN257" s="32">
        <f t="shared" si="240"/>
        <v>1.00079615959298</v>
      </c>
      <c r="AO257" s="32">
        <f t="shared" si="241"/>
        <v>-0.0398906436780335</v>
      </c>
      <c r="AP257" s="30" t="str">
        <f t="shared" si="242"/>
        <v>7,0013576221895-24,8690529536725i</v>
      </c>
      <c r="AQ257" s="32">
        <f t="shared" si="243"/>
        <v>28.2444398512726</v>
      </c>
      <c r="AR257" s="31">
        <f t="shared" si="244"/>
        <v>-74.2765537566318</v>
      </c>
      <c r="AS257" t="str">
        <f t="shared" si="220"/>
        <v>-0,000100699300699301</v>
      </c>
      <c r="AT257" t="str">
        <f t="shared" si="221"/>
        <v>0,00346563595600013i</v>
      </c>
      <c r="AU257">
        <f t="shared" si="245"/>
        <v>0.00346563595600013</v>
      </c>
      <c r="AV257">
        <f t="shared" si="246"/>
        <v>1.5707963267949</v>
      </c>
      <c r="AW257" t="str">
        <f t="shared" si="222"/>
        <v>1+0,177434204341096i</v>
      </c>
      <c r="AX257">
        <f t="shared" si="247"/>
        <v>1.01561946459792</v>
      </c>
      <c r="AY257">
        <f t="shared" si="248"/>
        <v>0.175606558253175</v>
      </c>
      <c r="AZ257" t="str">
        <f t="shared" si="223"/>
        <v>1+8,48286504583919i</v>
      </c>
      <c r="BA257">
        <f t="shared" si="249"/>
        <v>8.54160402886485</v>
      </c>
      <c r="BB257">
        <f t="shared" si="250"/>
        <v>1.45345319189189</v>
      </c>
      <c r="BC257" s="30" t="str">
        <f t="shared" si="251"/>
        <v>-0,233961096893043+0,0705692153697135i</v>
      </c>
      <c r="BD257" s="32">
        <f t="shared" si="252"/>
        <v>-12.2389613445597</v>
      </c>
      <c r="BE257" s="31">
        <f t="shared" si="253"/>
        <v>163.215218972499</v>
      </c>
      <c r="BF257" s="30" t="str">
        <f t="shared" si="254"/>
        <v>0,321350949748343+0,717153398344058i</v>
      </c>
      <c r="BG257" s="68">
        <f t="shared" si="255"/>
        <v>-2.0930999080556</v>
      </c>
      <c r="BH257" s="31">
        <f t="shared" si="256"/>
        <v>65.8632138763942</v>
      </c>
      <c r="BI257" s="30" t="str">
        <f t="shared" si="263"/>
        <v>0,116944244900601+6,31247122165307i</v>
      </c>
      <c r="BJ257" s="68">
        <f t="shared" si="257"/>
        <v>16.005478506713</v>
      </c>
      <c r="BK257" s="31">
        <f t="shared" si="264"/>
        <v>88.9386652158667</v>
      </c>
      <c r="BL257" s="32">
        <f t="shared" si="258"/>
        <v>-2.0930999080556</v>
      </c>
      <c r="BM257" s="31">
        <f t="shared" si="259"/>
        <v>65.8632138763942</v>
      </c>
      <c r="BO257">
        <f t="shared" si="260"/>
        <v>0</v>
      </c>
      <c r="BP257">
        <f t="shared" si="261"/>
        <v>0</v>
      </c>
    </row>
    <row r="258" spans="14:68">
      <c r="N258" s="7">
        <v>40</v>
      </c>
      <c r="O258" s="18">
        <f t="shared" si="262"/>
        <v>2511.88643150958</v>
      </c>
      <c r="P258" s="86" t="str">
        <f t="shared" si="212"/>
        <v>60</v>
      </c>
      <c r="Q258" s="4" t="str">
        <f t="shared" si="213"/>
        <v>1+20,6226599484927i</v>
      </c>
      <c r="R258" s="4">
        <f t="shared" si="224"/>
        <v>20.6468908882467</v>
      </c>
      <c r="S258" s="4">
        <f t="shared" si="225"/>
        <v>1.52234392855781</v>
      </c>
      <c r="T258" s="4" t="str">
        <f t="shared" si="214"/>
        <v>1+0,247471919381912i</v>
      </c>
      <c r="U258" s="4">
        <f t="shared" si="226"/>
        <v>1.03016617634368</v>
      </c>
      <c r="V258" s="4">
        <f t="shared" si="227"/>
        <v>0.242597881438763</v>
      </c>
      <c r="W258" t="str">
        <f t="shared" si="215"/>
        <v>1-0,345245423244855i</v>
      </c>
      <c r="X258" s="4">
        <f t="shared" si="228"/>
        <v>1.05791984680859</v>
      </c>
      <c r="Y258" s="4">
        <f t="shared" si="229"/>
        <v>-0.332432852971639</v>
      </c>
      <c r="Z258" t="str">
        <f t="shared" si="216"/>
        <v>0,999948493278002+0,0921191286745457i</v>
      </c>
      <c r="AA258" s="4">
        <f t="shared" si="230"/>
        <v>1.00418271399019</v>
      </c>
      <c r="AB258" s="4">
        <f t="shared" si="231"/>
        <v>0.0918645801967957</v>
      </c>
      <c r="AC258" s="67" t="str">
        <f t="shared" si="232"/>
        <v>-0,419001850340313-3,12591401795044i</v>
      </c>
      <c r="AD258" s="68">
        <f t="shared" si="233"/>
        <v>9.97687795417742</v>
      </c>
      <c r="AE258" s="31">
        <f t="shared" si="234"/>
        <v>-97.6344995272572</v>
      </c>
      <c r="AF258" s="32" t="str">
        <f t="shared" si="235"/>
        <v>326,048966736478</v>
      </c>
      <c r="AG258" s="32" t="str">
        <f t="shared" si="217"/>
        <v>1+13,2574242526024i</v>
      </c>
      <c r="AH258" s="32">
        <f t="shared" si="236"/>
        <v>13.2950854759753</v>
      </c>
      <c r="AI258" s="32">
        <f t="shared" si="237"/>
        <v>1.49550946141646</v>
      </c>
      <c r="AJ258" s="32" t="str">
        <f t="shared" si="218"/>
        <v>1+0,247471919381912i</v>
      </c>
      <c r="AK258" s="32">
        <f t="shared" si="238"/>
        <v>1.03016617634368</v>
      </c>
      <c r="AL258" s="32">
        <f t="shared" si="239"/>
        <v>0.242597881438763</v>
      </c>
      <c r="AM258" s="32" t="str">
        <f t="shared" si="219"/>
        <v>1-0,0408414816174598i</v>
      </c>
      <c r="AN258" s="32">
        <f t="shared" si="240"/>
        <v>1.00083366581101</v>
      </c>
      <c r="AO258" s="32">
        <f t="shared" si="241"/>
        <v>-0.0408187960909836</v>
      </c>
      <c r="AP258" s="30" t="str">
        <f t="shared" si="242"/>
        <v>6,91629137242123-24,3205682493961i</v>
      </c>
      <c r="AQ258" s="32">
        <f t="shared" si="243"/>
        <v>28.0572177311595</v>
      </c>
      <c r="AR258" s="31">
        <f t="shared" si="244"/>
        <v>-74.1252903766079</v>
      </c>
      <c r="AS258" t="str">
        <f t="shared" si="220"/>
        <v>-0,000100699300699301</v>
      </c>
      <c r="AT258" t="str">
        <f t="shared" si="221"/>
        <v>0,00354636098757114i</v>
      </c>
      <c r="AU258">
        <f t="shared" si="245"/>
        <v>0.00354636098757114</v>
      </c>
      <c r="AV258">
        <f t="shared" si="246"/>
        <v>1.5707963267949</v>
      </c>
      <c r="AW258" t="str">
        <f t="shared" si="222"/>
        <v>1+0,181567177893155i</v>
      </c>
      <c r="AX258">
        <f t="shared" si="247"/>
        <v>1.01634966428296</v>
      </c>
      <c r="AY258">
        <f t="shared" si="248"/>
        <v>0.17961051726367</v>
      </c>
      <c r="AZ258" t="str">
        <f t="shared" si="223"/>
        <v>1+8,68045635587063i</v>
      </c>
      <c r="BA258">
        <f t="shared" si="249"/>
        <v>8.73786716230997</v>
      </c>
      <c r="BB258">
        <f t="shared" si="250"/>
        <v>1.45610061573169</v>
      </c>
      <c r="BC258" s="30" t="str">
        <f t="shared" si="251"/>
        <v>-0,233625037452882+0,0708137460165209i</v>
      </c>
      <c r="BD258" s="32">
        <f t="shared" si="252"/>
        <v>-12.2478839229555</v>
      </c>
      <c r="BE258" s="31">
        <f t="shared" si="253"/>
        <v>163.137495232457</v>
      </c>
      <c r="BF258" s="30" t="str">
        <f t="shared" si="254"/>
        <v>0,319247004315207+0,700620688907709i</v>
      </c>
      <c r="BG258" s="68">
        <f t="shared" si="255"/>
        <v>-2.27100596877812</v>
      </c>
      <c r="BH258" s="31">
        <f t="shared" si="256"/>
        <v>65.5029957051995</v>
      </c>
      <c r="BI258" s="30" t="str">
        <f t="shared" si="263"/>
        <v>0,106411712073243+6,17166216876343i</v>
      </c>
      <c r="BJ258" s="68">
        <f t="shared" si="257"/>
        <v>15.809333808204</v>
      </c>
      <c r="BK258" s="31">
        <f t="shared" si="264"/>
        <v>89.0122048558487</v>
      </c>
      <c r="BL258" s="32">
        <f t="shared" si="258"/>
        <v>-2.27100596877812</v>
      </c>
      <c r="BM258" s="31">
        <f t="shared" si="259"/>
        <v>65.5029957051995</v>
      </c>
      <c r="BO258">
        <f t="shared" si="260"/>
        <v>0</v>
      </c>
      <c r="BP258">
        <f t="shared" si="261"/>
        <v>0</v>
      </c>
    </row>
    <row r="259" spans="14:68">
      <c r="N259" s="7">
        <v>41</v>
      </c>
      <c r="O259" s="18">
        <f t="shared" si="262"/>
        <v>2570.39578276887</v>
      </c>
      <c r="P259" s="86" t="str">
        <f t="shared" si="212"/>
        <v>60</v>
      </c>
      <c r="Q259" s="4" t="str">
        <f t="shared" si="213"/>
        <v>1+21,1030234074815i</v>
      </c>
      <c r="R259" s="4">
        <f t="shared" si="224"/>
        <v>21.126703409115</v>
      </c>
      <c r="S259" s="4">
        <f t="shared" si="225"/>
        <v>1.52344517280594</v>
      </c>
      <c r="T259" s="4" t="str">
        <f t="shared" si="214"/>
        <v>1+0,253236280889778i</v>
      </c>
      <c r="U259" s="4">
        <f t="shared" si="226"/>
        <v>1.03156609771691</v>
      </c>
      <c r="V259" s="4">
        <f t="shared" si="227"/>
        <v>0.248022247525237</v>
      </c>
      <c r="W259" t="str">
        <f t="shared" si="215"/>
        <v>1-0,353287222223462i</v>
      </c>
      <c r="X259" s="4">
        <f t="shared" si="228"/>
        <v>1.06057147867853</v>
      </c>
      <c r="Y259" s="4">
        <f t="shared" si="229"/>
        <v>-0.339600295559605</v>
      </c>
      <c r="Z259" t="str">
        <f t="shared" si="216"/>
        <v>0,999946065840979+0,0942648588276715i</v>
      </c>
      <c r="AA259" s="4">
        <f t="shared" si="230"/>
        <v>1.0043794094866</v>
      </c>
      <c r="AB259" s="4">
        <f t="shared" si="231"/>
        <v>0.09399216940836</v>
      </c>
      <c r="AC259" s="67" t="str">
        <f t="shared" si="232"/>
        <v>-0,426228957958965-3,0640577765419i</v>
      </c>
      <c r="AD259" s="68">
        <f t="shared" si="233"/>
        <v>9.80917437107751</v>
      </c>
      <c r="AE259" s="31">
        <f t="shared" si="234"/>
        <v>-97.919368984152</v>
      </c>
      <c r="AF259" s="32" t="str">
        <f t="shared" si="235"/>
        <v>326,048966736478</v>
      </c>
      <c r="AG259" s="32" t="str">
        <f t="shared" si="217"/>
        <v>1+13,566229333381i</v>
      </c>
      <c r="AH259" s="32">
        <f t="shared" si="236"/>
        <v>13.6030356290751</v>
      </c>
      <c r="AI259" s="32">
        <f t="shared" si="237"/>
        <v>1.49721694948971</v>
      </c>
      <c r="AJ259" s="32" t="str">
        <f t="shared" si="218"/>
        <v>1+0,253236280889778i</v>
      </c>
      <c r="AK259" s="32">
        <f t="shared" si="238"/>
        <v>1.03156609771691</v>
      </c>
      <c r="AL259" s="32">
        <f t="shared" si="239"/>
        <v>0.248022247525237</v>
      </c>
      <c r="AM259" s="32" t="str">
        <f t="shared" si="219"/>
        <v>1-0,0417928019335098i</v>
      </c>
      <c r="AN259" s="32">
        <f t="shared" si="240"/>
        <v>1.00087293813623</v>
      </c>
      <c r="AO259" s="32">
        <f t="shared" si="241"/>
        <v>-0.0417684950988292</v>
      </c>
      <c r="AP259" s="30" t="str">
        <f t="shared" si="242"/>
        <v>6,83501137858637-23,7844040213138i</v>
      </c>
      <c r="AQ259" s="32">
        <f t="shared" si="243"/>
        <v>27.8704600038721</v>
      </c>
      <c r="AR259" s="31">
        <f t="shared" si="244"/>
        <v>-73.9667426984428</v>
      </c>
      <c r="AS259" t="str">
        <f t="shared" si="220"/>
        <v>-0,000100699300699301</v>
      </c>
      <c r="AT259" t="str">
        <f t="shared" si="221"/>
        <v>0,00362896634667941i</v>
      </c>
      <c r="AU259">
        <f t="shared" si="245"/>
        <v>0.00362896634667941</v>
      </c>
      <c r="AV259">
        <f t="shared" si="246"/>
        <v>1.5707963267949</v>
      </c>
      <c r="AW259" t="str">
        <f t="shared" si="222"/>
        <v>1+0,185796420766259i</v>
      </c>
      <c r="AX259">
        <f t="shared" si="247"/>
        <v>1.0171137153581</v>
      </c>
      <c r="AY259">
        <f t="shared" si="248"/>
        <v>0.183701721675213</v>
      </c>
      <c r="AZ259" t="str">
        <f t="shared" si="223"/>
        <v>1+8,88265015876133i</v>
      </c>
      <c r="BA259">
        <f t="shared" si="249"/>
        <v>8.93876243352192</v>
      </c>
      <c r="BB259">
        <f t="shared" si="250"/>
        <v>1.45868933819641</v>
      </c>
      <c r="BC259" s="30" t="str">
        <f t="shared" si="251"/>
        <v>-0,23327417321102+0,0710902621678604i</v>
      </c>
      <c r="BD259" s="32">
        <f t="shared" si="252"/>
        <v>-12.2569720328373</v>
      </c>
      <c r="BE259" s="31">
        <f t="shared" si="253"/>
        <v>163.051409358109</v>
      </c>
      <c r="BF259" s="30" t="str">
        <f t="shared" si="254"/>
        <v>0,317252878398307+0,684464816128771i</v>
      </c>
      <c r="BG259" s="68">
        <f t="shared" si="255"/>
        <v>-2.44779766175976</v>
      </c>
      <c r="BH259" s="31">
        <f t="shared" si="256"/>
        <v>65.1320403739569</v>
      </c>
      <c r="BI259" s="30" t="str">
        <f t="shared" si="263"/>
        <v>0,0964078891538616+6,03418993421285i</v>
      </c>
      <c r="BJ259" s="68">
        <f t="shared" si="257"/>
        <v>15.6134879710349</v>
      </c>
      <c r="BK259" s="31">
        <f t="shared" si="264"/>
        <v>89.0846666596661</v>
      </c>
      <c r="BL259" s="32">
        <f t="shared" si="258"/>
        <v>-2.44779766175976</v>
      </c>
      <c r="BM259" s="31">
        <f t="shared" si="259"/>
        <v>65.1320403739569</v>
      </c>
      <c r="BO259">
        <f t="shared" si="260"/>
        <v>0</v>
      </c>
      <c r="BP259">
        <f t="shared" si="261"/>
        <v>0</v>
      </c>
    </row>
    <row r="260" spans="14:68">
      <c r="N260" s="7">
        <v>42</v>
      </c>
      <c r="O260" s="18">
        <f t="shared" si="262"/>
        <v>2630.26799189538</v>
      </c>
      <c r="P260" s="86" t="str">
        <f t="shared" si="212"/>
        <v>60</v>
      </c>
      <c r="Q260" s="4" t="str">
        <f t="shared" si="213"/>
        <v>1+21,5945759688125i</v>
      </c>
      <c r="R260" s="4">
        <f t="shared" si="224"/>
        <v>21.6177175315253</v>
      </c>
      <c r="S260" s="4">
        <f t="shared" si="225"/>
        <v>1.52452146074607</v>
      </c>
      <c r="T260" s="4" t="str">
        <f t="shared" si="214"/>
        <v>1+0,25913491162575i</v>
      </c>
      <c r="U260" s="4">
        <f t="shared" si="226"/>
        <v>1.03302996201625</v>
      </c>
      <c r="V260" s="4">
        <f t="shared" si="227"/>
        <v>0.253557576649151</v>
      </c>
      <c r="W260" t="str">
        <f t="shared" si="215"/>
        <v>1-0,361516338763602i</v>
      </c>
      <c r="X260" s="4">
        <f t="shared" si="228"/>
        <v>1.06334099102453</v>
      </c>
      <c r="Y260" s="4">
        <f t="shared" si="229"/>
        <v>-0.346897299272993</v>
      </c>
      <c r="Z260" t="str">
        <f t="shared" si="216"/>
        <v>0,999943524002374+0,0964605694566907i</v>
      </c>
      <c r="AA260" s="4">
        <f t="shared" si="230"/>
        <v>1.0045853336846</v>
      </c>
      <c r="AB260" s="4">
        <f t="shared" si="231"/>
        <v>0.0961684494592243</v>
      </c>
      <c r="AC260" s="67" t="str">
        <f t="shared" si="232"/>
        <v>-0,433209598619785-3,00379155103534i</v>
      </c>
      <c r="AD260" s="68">
        <f t="shared" si="233"/>
        <v>9.64280106081603</v>
      </c>
      <c r="AE260" s="31">
        <f t="shared" si="234"/>
        <v>-98.2066639214676</v>
      </c>
      <c r="AF260" s="32" t="str">
        <f t="shared" si="235"/>
        <v>326,048966736478</v>
      </c>
      <c r="AG260" s="32" t="str">
        <f t="shared" si="217"/>
        <v>1+13,8822274085223i</v>
      </c>
      <c r="AH260" s="32">
        <f t="shared" si="236"/>
        <v>13.9181980809991</v>
      </c>
      <c r="AI260" s="32">
        <f t="shared" si="237"/>
        <v>1.49888598582034</v>
      </c>
      <c r="AJ260" s="32" t="str">
        <f t="shared" si="218"/>
        <v>1+0,25913491162575i</v>
      </c>
      <c r="AK260" s="32">
        <f t="shared" si="238"/>
        <v>1.03302996201625</v>
      </c>
      <c r="AL260" s="32">
        <f t="shared" si="239"/>
        <v>0.253557576649151</v>
      </c>
      <c r="AM260" s="32" t="str">
        <f t="shared" si="219"/>
        <v>1-0,042766281346338i</v>
      </c>
      <c r="AN260" s="32">
        <f t="shared" si="240"/>
        <v>1.00091405965757</v>
      </c>
      <c r="AO260" s="32">
        <f t="shared" si="241"/>
        <v>-0.0427402373881667</v>
      </c>
      <c r="AP260" s="30" t="str">
        <f t="shared" si="242"/>
        <v>6,75735092842099-23,2603139307402i</v>
      </c>
      <c r="AQ260" s="32">
        <f t="shared" si="243"/>
        <v>27.6841904597332</v>
      </c>
      <c r="AR260" s="31">
        <f t="shared" si="244"/>
        <v>-73.8008971709792</v>
      </c>
      <c r="AS260" t="str">
        <f t="shared" si="220"/>
        <v>-0,000100699300699301</v>
      </c>
      <c r="AT260" t="str">
        <f t="shared" si="221"/>
        <v>0,00371349583177972i</v>
      </c>
      <c r="AU260">
        <f t="shared" si="245"/>
        <v>0.00371349583177972</v>
      </c>
      <c r="AV260">
        <f t="shared" si="246"/>
        <v>1.5707963267949</v>
      </c>
      <c r="AW260" t="str">
        <f t="shared" si="222"/>
        <v>1+0,190124175360958i</v>
      </c>
      <c r="AX260">
        <f t="shared" si="247"/>
        <v>1.0179131603711</v>
      </c>
      <c r="AY260">
        <f t="shared" si="248"/>
        <v>0.187881792602578</v>
      </c>
      <c r="AZ260" t="str">
        <f t="shared" si="223"/>
        <v>1+9,08955366034198i</v>
      </c>
      <c r="BA260">
        <f t="shared" si="249"/>
        <v>9.14439641224265</v>
      </c>
      <c r="BB260">
        <f t="shared" si="250"/>
        <v>1.46122059299963</v>
      </c>
      <c r="BC260" s="30" t="str">
        <f t="shared" si="251"/>
        <v>-0,232907901019409+0,0713985395490228i</v>
      </c>
      <c r="BD260" s="32">
        <f t="shared" si="252"/>
        <v>-12.2662434171361</v>
      </c>
      <c r="BE260" s="31">
        <f t="shared" si="253"/>
        <v>162.956939153002</v>
      </c>
      <c r="BF260" s="30" t="str">
        <f t="shared" si="254"/>
        <v>0,315364268169612+0,668676252591405i</v>
      </c>
      <c r="BG260" s="68">
        <f t="shared" si="255"/>
        <v>-2.62344235632003</v>
      </c>
      <c r="BH260" s="31">
        <f t="shared" si="256"/>
        <v>64.7502752315343</v>
      </c>
      <c r="BI260" s="30" t="str">
        <f t="shared" si="263"/>
        <v>0,0869120229165528+5,89997588217071i</v>
      </c>
      <c r="BJ260" s="68">
        <f t="shared" si="257"/>
        <v>15.4179470425972</v>
      </c>
      <c r="BK260" s="31">
        <f t="shared" si="264"/>
        <v>89.1560419820227</v>
      </c>
      <c r="BL260" s="32">
        <f t="shared" si="258"/>
        <v>-2.62344235632003</v>
      </c>
      <c r="BM260" s="31">
        <f t="shared" si="259"/>
        <v>64.7502752315343</v>
      </c>
      <c r="BO260">
        <f t="shared" si="260"/>
        <v>0</v>
      </c>
      <c r="BP260">
        <f t="shared" si="261"/>
        <v>0</v>
      </c>
    </row>
    <row r="261" spans="14:68">
      <c r="N261" s="7">
        <v>43</v>
      </c>
      <c r="O261" s="18">
        <f t="shared" si="262"/>
        <v>2691.53480392692</v>
      </c>
      <c r="P261" s="86" t="str">
        <f t="shared" si="212"/>
        <v>60</v>
      </c>
      <c r="Q261" s="4" t="str">
        <f t="shared" si="213"/>
        <v>1+22,0975782601602i</v>
      </c>
      <c r="R261" s="4">
        <f t="shared" si="224"/>
        <v>22.120193601411</v>
      </c>
      <c r="S261" s="4">
        <f t="shared" si="225"/>
        <v>1.52557335306051</v>
      </c>
      <c r="T261" s="4" t="str">
        <f t="shared" si="214"/>
        <v>1+0,265170939121923i</v>
      </c>
      <c r="U261" s="4">
        <f t="shared" si="226"/>
        <v>1.03456059607681</v>
      </c>
      <c r="V261" s="4">
        <f t="shared" si="227"/>
        <v>0.259205446329755</v>
      </c>
      <c r="W261" t="str">
        <f t="shared" si="215"/>
        <v>1-0,36993713605179i</v>
      </c>
      <c r="X261" s="4">
        <f t="shared" si="228"/>
        <v>1.06623331622596</v>
      </c>
      <c r="Y261" s="4">
        <f t="shared" si="229"/>
        <v>-0.354324623816642</v>
      </c>
      <c r="Z261" t="str">
        <f t="shared" si="216"/>
        <v>0,999940862370606+0,0987074247564427i</v>
      </c>
      <c r="AA261" s="4">
        <f t="shared" si="230"/>
        <v>1.00480091756552</v>
      </c>
      <c r="AB261" s="4">
        <f t="shared" si="231"/>
        <v>0.098394493253783</v>
      </c>
      <c r="AC261" s="67" t="str">
        <f t="shared" si="232"/>
        <v>-0,439958309756351-2,94508467019908i</v>
      </c>
      <c r="AD261" s="68">
        <f t="shared" si="233"/>
        <v>9.47780971012828</v>
      </c>
      <c r="AE261" s="31">
        <f t="shared" si="234"/>
        <v>-98.496431079513</v>
      </c>
      <c r="AF261" s="32" t="str">
        <f t="shared" si="235"/>
        <v>326,048966736478</v>
      </c>
      <c r="AG261" s="32" t="str">
        <f t="shared" si="217"/>
        <v>1+14,2055860243887i</v>
      </c>
      <c r="AH261" s="32">
        <f t="shared" si="236"/>
        <v>14.2407399490443</v>
      </c>
      <c r="AI261" s="32">
        <f t="shared" si="237"/>
        <v>1.50051741813741</v>
      </c>
      <c r="AJ261" s="32" t="str">
        <f t="shared" si="218"/>
        <v>1+0,265170939121923i</v>
      </c>
      <c r="AK261" s="32">
        <f t="shared" si="238"/>
        <v>1.03456059607681</v>
      </c>
      <c r="AL261" s="32">
        <f t="shared" si="239"/>
        <v>0.259205446329755</v>
      </c>
      <c r="AM261" s="32" t="str">
        <f t="shared" si="219"/>
        <v>1-0,0437624360076149i</v>
      </c>
      <c r="AN261" s="32">
        <f t="shared" si="240"/>
        <v>1.00095711736583</v>
      </c>
      <c r="AO261" s="32">
        <f t="shared" si="241"/>
        <v>-0.0437345308446397</v>
      </c>
      <c r="AP261" s="30" t="str">
        <f t="shared" si="242"/>
        <v>6,68315049141087-22,7480555525823i</v>
      </c>
      <c r="AQ261" s="32">
        <f t="shared" si="243"/>
        <v>27.4984335512781</v>
      </c>
      <c r="AR261" s="31">
        <f t="shared" si="244"/>
        <v>-73.6277410800235</v>
      </c>
      <c r="AS261" t="str">
        <f t="shared" si="220"/>
        <v>-0,000100699300699301</v>
      </c>
      <c r="AT261" t="str">
        <f t="shared" si="221"/>
        <v>0,00379999426152399i</v>
      </c>
      <c r="AU261">
        <f t="shared" si="245"/>
        <v>0.00379999426152399</v>
      </c>
      <c r="AV261">
        <f t="shared" si="246"/>
        <v>1.5707963267949</v>
      </c>
      <c r="AW261" t="str">
        <f t="shared" si="222"/>
        <v>1+0,194552736310026i</v>
      </c>
      <c r="AX261">
        <f t="shared" si="247"/>
        <v>1.01874960967144</v>
      </c>
      <c r="AY261">
        <f t="shared" si="248"/>
        <v>0.192152361783309</v>
      </c>
      <c r="AZ261" t="str">
        <f t="shared" si="223"/>
        <v>1+9,30127656358784i</v>
      </c>
      <c r="BA261">
        <f t="shared" si="249"/>
        <v>9.35487817731201</v>
      </c>
      <c r="BB261">
        <f t="shared" si="250"/>
        <v>1.46369559242868</v>
      </c>
      <c r="BC261" s="30" t="str">
        <f t="shared" si="251"/>
        <v>-0,232525597709869+0,0717383472881817i</v>
      </c>
      <c r="BD261" s="32">
        <f t="shared" si="252"/>
        <v>-12.2757161033639</v>
      </c>
      <c r="BE261" s="31">
        <f t="shared" si="253"/>
        <v>162.85406058441</v>
      </c>
      <c r="BF261" s="30" t="str">
        <f t="shared" si="254"/>
        <v>0,313577075807361+0,653245691226591i</v>
      </c>
      <c r="BG261" s="68">
        <f t="shared" si="255"/>
        <v>-2.79790639323563</v>
      </c>
      <c r="BH261" s="31">
        <f t="shared" si="256"/>
        <v>64.3576295048967</v>
      </c>
      <c r="BI261" s="30" t="str">
        <f t="shared" si="263"/>
        <v>0,0779043467616818+5,76894338503352i</v>
      </c>
      <c r="BJ261" s="68">
        <f t="shared" si="257"/>
        <v>15.2227174479142</v>
      </c>
      <c r="BK261" s="31">
        <f t="shared" si="264"/>
        <v>89.2263195043862</v>
      </c>
      <c r="BL261" s="32">
        <f t="shared" si="258"/>
        <v>-2.79790639323563</v>
      </c>
      <c r="BM261" s="31">
        <f t="shared" si="259"/>
        <v>64.3576295048967</v>
      </c>
      <c r="BO261">
        <f t="shared" si="260"/>
        <v>0</v>
      </c>
      <c r="BP261">
        <f t="shared" si="261"/>
        <v>0</v>
      </c>
    </row>
    <row r="262" spans="14:68">
      <c r="N262" s="7">
        <v>44</v>
      </c>
      <c r="O262" s="18">
        <f t="shared" si="262"/>
        <v>2754.22870333817</v>
      </c>
      <c r="P262" s="86" t="str">
        <f t="shared" si="212"/>
        <v>60</v>
      </c>
      <c r="Q262" s="4" t="str">
        <f t="shared" si="213"/>
        <v>1+22,6122969799975i</v>
      </c>
      <c r="R262" s="4">
        <f t="shared" si="224"/>
        <v>22.6343980417329</v>
      </c>
      <c r="S262" s="4">
        <f t="shared" si="225"/>
        <v>1.52660139816002</v>
      </c>
      <c r="T262" s="4" t="str">
        <f t="shared" si="214"/>
        <v>1+0,271347563759971i</v>
      </c>
      <c r="U262" s="4">
        <f t="shared" si="226"/>
        <v>1.03616094327014</v>
      </c>
      <c r="V262" s="4">
        <f t="shared" si="227"/>
        <v>0.264967409278855</v>
      </c>
      <c r="W262" t="str">
        <f t="shared" si="215"/>
        <v>1-0,378554078906209i</v>
      </c>
      <c r="X262" s="4">
        <f t="shared" si="228"/>
        <v>1.06925356705345</v>
      </c>
      <c r="Y262" s="4">
        <f t="shared" si="229"/>
        <v>-0.361882928442116</v>
      </c>
      <c r="Z262" t="str">
        <f t="shared" si="216"/>
        <v>0,999938075299998+0,101006616039348i</v>
      </c>
      <c r="AA262" s="4">
        <f t="shared" si="230"/>
        <v>1.00502661204487</v>
      </c>
      <c r="AB262" s="4">
        <f t="shared" si="231"/>
        <v>0.10067139439886</v>
      </c>
      <c r="AC262" s="67" t="str">
        <f t="shared" si="232"/>
        <v>-0,446489142252605-2,88790713381175i</v>
      </c>
      <c r="AD262" s="68">
        <f t="shared" si="233"/>
        <v>9.314253313377</v>
      </c>
      <c r="AE262" s="31">
        <f t="shared" si="234"/>
        <v>-98.7887133474653</v>
      </c>
      <c r="AF262" s="32" t="str">
        <f t="shared" si="235"/>
        <v>326,048966736478</v>
      </c>
      <c r="AG262" s="32" t="str">
        <f t="shared" si="217"/>
        <v>1+14,5364766299984i</v>
      </c>
      <c r="AH262" s="32">
        <f t="shared" si="236"/>
        <v>14.5708322622453</v>
      </c>
      <c r="AI262" s="32">
        <f t="shared" si="237"/>
        <v>1.50211207669105</v>
      </c>
      <c r="AJ262" s="32" t="str">
        <f t="shared" si="218"/>
        <v>1+0,271347563759971i</v>
      </c>
      <c r="AK262" s="32">
        <f t="shared" si="238"/>
        <v>1.03616094327014</v>
      </c>
      <c r="AL262" s="32">
        <f t="shared" si="239"/>
        <v>0.264967409278855</v>
      </c>
      <c r="AM262" s="32" t="str">
        <f t="shared" si="219"/>
        <v>1-0,0447817940917274i</v>
      </c>
      <c r="AN262" s="32">
        <f t="shared" si="240"/>
        <v>1.00100220233628</v>
      </c>
      <c r="AO262" s="32">
        <f t="shared" si="241"/>
        <v>-0.0447518947874979</v>
      </c>
      <c r="AP262" s="30" t="str">
        <f t="shared" si="242"/>
        <v>6,61225742336744-22,2473904081286i</v>
      </c>
      <c r="AQ262" s="32">
        <f t="shared" si="243"/>
        <v>27.3132144131475</v>
      </c>
      <c r="AR262" s="31">
        <f t="shared" si="244"/>
        <v>-73.447262786372</v>
      </c>
      <c r="AS262" t="str">
        <f t="shared" si="220"/>
        <v>-0,000100699300699301</v>
      </c>
      <c r="AT262" t="str">
        <f t="shared" si="221"/>
        <v>0,00388850749852457i</v>
      </c>
      <c r="AU262">
        <f t="shared" si="245"/>
        <v>0.00388850749852457</v>
      </c>
      <c r="AV262">
        <f t="shared" si="246"/>
        <v>1.5707963267949</v>
      </c>
      <c r="AW262" t="str">
        <f t="shared" si="222"/>
        <v>1+0,199084451695096i</v>
      </c>
      <c r="AX262">
        <f t="shared" si="247"/>
        <v>1.01962474416166</v>
      </c>
      <c r="AY262">
        <f t="shared" si="248"/>
        <v>0.196515070143651</v>
      </c>
      <c r="AZ262" t="str">
        <f t="shared" si="223"/>
        <v>1+9,51793112678467i</v>
      </c>
      <c r="BA262">
        <f t="shared" si="249"/>
        <v>9.57031937472394</v>
      </c>
      <c r="BB262">
        <f t="shared" si="250"/>
        <v>1.46611552740779</v>
      </c>
      <c r="BC262" s="30" t="str">
        <f t="shared" si="251"/>
        <v>-0,232126619861825+0,0721094464639899i</v>
      </c>
      <c r="BD262" s="32">
        <f t="shared" si="252"/>
        <v>-12.2854084293722</v>
      </c>
      <c r="BE262" s="31">
        <f t="shared" si="253"/>
        <v>162.742747869115</v>
      </c>
      <c r="BF262" s="30" t="str">
        <f t="shared" si="254"/>
        <v>0,311887400254676+0,638164036546556i</v>
      </c>
      <c r="BG262" s="68">
        <f t="shared" si="255"/>
        <v>-2.97115511599522</v>
      </c>
      <c r="BH262" s="31">
        <f t="shared" si="256"/>
        <v>63.9540345216493</v>
      </c>
      <c r="BI262" s="30" t="str">
        <f t="shared" si="263"/>
        <v>0,0693660422558871+5,64101775886171i</v>
      </c>
      <c r="BJ262" s="68">
        <f t="shared" si="257"/>
        <v>15.0278059837753</v>
      </c>
      <c r="BK262" s="31">
        <f t="shared" si="264"/>
        <v>89.2954850827426</v>
      </c>
      <c r="BL262" s="32">
        <f t="shared" si="258"/>
        <v>-2.97115511599522</v>
      </c>
      <c r="BM262" s="31">
        <f t="shared" si="259"/>
        <v>63.9540345216493</v>
      </c>
      <c r="BO262">
        <f t="shared" si="260"/>
        <v>0</v>
      </c>
      <c r="BP262">
        <f t="shared" si="261"/>
        <v>0</v>
      </c>
    </row>
    <row r="263" spans="14:68">
      <c r="N263" s="7">
        <v>45</v>
      </c>
      <c r="O263" s="18">
        <f t="shared" si="262"/>
        <v>2818.38293126446</v>
      </c>
      <c r="P263" s="86" t="str">
        <f t="shared" si="212"/>
        <v>60</v>
      </c>
      <c r="Q263" s="4" t="str">
        <f t="shared" si="213"/>
        <v>1+23,1390050390027i</v>
      </c>
      <c r="R263" s="4">
        <f t="shared" si="224"/>
        <v>23.1606034937562</v>
      </c>
      <c r="S263" s="4">
        <f t="shared" si="225"/>
        <v>1.52760613243064</v>
      </c>
      <c r="T263" s="4" t="str">
        <f t="shared" si="214"/>
        <v>1+0,277668060468033i</v>
      </c>
      <c r="U263" s="4">
        <f t="shared" si="226"/>
        <v>1.03783406756768</v>
      </c>
      <c r="V263" s="4">
        <f t="shared" si="227"/>
        <v>0.270844989553135</v>
      </c>
      <c r="W263" t="str">
        <f t="shared" si="215"/>
        <v>1-0,38737173614402i</v>
      </c>
      <c r="X263" s="4">
        <f t="shared" si="228"/>
        <v>1.07240704117571</v>
      </c>
      <c r="Y263" s="4">
        <f t="shared" si="229"/>
        <v>-0.369572765340628</v>
      </c>
      <c r="Z263" t="str">
        <f t="shared" si="216"/>
        <v>0,999935156878798+0,103359362367058i</v>
      </c>
      <c r="AA263" s="4">
        <f t="shared" si="230"/>
        <v>1.00526288887592</v>
      </c>
      <c r="AB263" s="4">
        <f t="shared" si="231"/>
        <v>0.103000267390229</v>
      </c>
      <c r="AC263" s="67" t="str">
        <f t="shared" si="232"/>
        <v>-0,452815688061933-2,83222960220493i</v>
      </c>
      <c r="AD263" s="68">
        <f t="shared" si="233"/>
        <v>9.15218616239475</v>
      </c>
      <c r="AE263" s="31">
        <f t="shared" si="234"/>
        <v>-99.0835496300946</v>
      </c>
      <c r="AF263" s="32" t="str">
        <f t="shared" si="235"/>
        <v>326,048966736478</v>
      </c>
      <c r="AG263" s="32" t="str">
        <f t="shared" si="217"/>
        <v>1+14,8750746679304i</v>
      </c>
      <c r="AH263" s="32">
        <f t="shared" si="236"/>
        <v>14.9086500521176</v>
      </c>
      <c r="AI263" s="32">
        <f t="shared" si="237"/>
        <v>1.50367077453119</v>
      </c>
      <c r="AJ263" s="32" t="str">
        <f t="shared" si="218"/>
        <v>1+0,277668060468033i</v>
      </c>
      <c r="AK263" s="32">
        <f t="shared" si="238"/>
        <v>1.03783406756768</v>
      </c>
      <c r="AL263" s="32">
        <f t="shared" si="239"/>
        <v>0.270844989553135</v>
      </c>
      <c r="AM263" s="32" t="str">
        <f t="shared" si="219"/>
        <v>1-0,0458248960758243i</v>
      </c>
      <c r="AN263" s="32">
        <f t="shared" si="240"/>
        <v>1.00104940991959</v>
      </c>
      <c r="AO263" s="32">
        <f t="shared" si="241"/>
        <v>-0.0457928602077611</v>
      </c>
      <c r="AP263" s="30" t="str">
        <f t="shared" si="242"/>
        <v>6,54452568191441-21,7580839896699i</v>
      </c>
      <c r="AQ263" s="32">
        <f t="shared" si="243"/>
        <v>27.1285588810081</v>
      </c>
      <c r="AR263" s="31">
        <f t="shared" si="244"/>
        <v>-73.2594519758826</v>
      </c>
      <c r="AS263" t="str">
        <f t="shared" si="220"/>
        <v>-0,000100699300699301</v>
      </c>
      <c r="AT263" t="str">
        <f t="shared" si="221"/>
        <v>0,00397908247367136i</v>
      </c>
      <c r="AU263">
        <f t="shared" si="245"/>
        <v>0.00397908247367136</v>
      </c>
      <c r="AV263">
        <f t="shared" si="246"/>
        <v>1.5707963267949</v>
      </c>
      <c r="AW263" t="str">
        <f t="shared" si="222"/>
        <v>1+0,203721724291648i</v>
      </c>
      <c r="AX263">
        <f t="shared" si="247"/>
        <v>1.02054031813954</v>
      </c>
      <c r="AY263">
        <f t="shared" si="248"/>
        <v>0.200971566239704</v>
      </c>
      <c r="AZ263" t="str">
        <f t="shared" si="223"/>
        <v>1+9,73963222304962i</v>
      </c>
      <c r="BA263">
        <f t="shared" si="249"/>
        <v>9.79083427703005</v>
      </c>
      <c r="BB263">
        <f t="shared" si="250"/>
        <v>1.46848156758592</v>
      </c>
      <c r="BC263" s="30" t="str">
        <f t="shared" si="251"/>
        <v>-0,231710303614249+0,0725115885910521i</v>
      </c>
      <c r="BD263" s="32">
        <f t="shared" si="252"/>
        <v>-12.2953390689614</v>
      </c>
      <c r="BE263" s="31">
        <f t="shared" si="253"/>
        <v>162.62297356776</v>
      </c>
      <c r="BF263" s="30" t="str">
        <f t="shared" si="254"/>
        <v>0,310291528272609+0,623422396151847i</v>
      </c>
      <c r="BG263" s="68">
        <f t="shared" si="255"/>
        <v>-3.14315290656667</v>
      </c>
      <c r="BH263" s="31">
        <f t="shared" si="256"/>
        <v>63.539423937665</v>
      </c>
      <c r="BI263" s="30" t="str">
        <f t="shared" si="263"/>
        <v>0,0612792020208632+5,51612620108129i</v>
      </c>
      <c r="BJ263" s="68">
        <f t="shared" si="257"/>
        <v>14.8332198120467</v>
      </c>
      <c r="BK263" s="31">
        <f t="shared" si="264"/>
        <v>89.3635215918771</v>
      </c>
      <c r="BL263" s="32">
        <f t="shared" si="258"/>
        <v>-3.14315290656667</v>
      </c>
      <c r="BM263" s="31">
        <f t="shared" si="259"/>
        <v>63.539423937665</v>
      </c>
      <c r="BO263">
        <f t="shared" si="260"/>
        <v>0</v>
      </c>
      <c r="BP263">
        <f t="shared" si="261"/>
        <v>0</v>
      </c>
    </row>
    <row r="264" spans="14:68">
      <c r="N264" s="7">
        <v>46</v>
      </c>
      <c r="O264" s="18">
        <f t="shared" si="262"/>
        <v>2884.03150312661</v>
      </c>
      <c r="P264" s="86" t="str">
        <f t="shared" si="212"/>
        <v>60</v>
      </c>
      <c r="Q264" s="4" t="str">
        <f t="shared" si="213"/>
        <v>1+23,6779817047606i</v>
      </c>
      <c r="R264" s="4">
        <f t="shared" si="224"/>
        <v>23.6990889616242</v>
      </c>
      <c r="S264" s="4">
        <f t="shared" si="225"/>
        <v>1.528588080477</v>
      </c>
      <c r="T264" s="4" t="str">
        <f t="shared" si="214"/>
        <v>1+0,284135780457127i</v>
      </c>
      <c r="U264" s="4">
        <f t="shared" si="226"/>
        <v>1.03958315768195</v>
      </c>
      <c r="V264" s="4">
        <f t="shared" si="227"/>
        <v>0.276839678498291</v>
      </c>
      <c r="W264" t="str">
        <f t="shared" si="215"/>
        <v>1-0,396394783003804i</v>
      </c>
      <c r="X264" s="4">
        <f t="shared" si="228"/>
        <v>1.07569922561682</v>
      </c>
      <c r="Y264" s="4">
        <f t="shared" si="229"/>
        <v>-0.377394572930391</v>
      </c>
      <c r="Z264" t="str">
        <f t="shared" si="216"/>
        <v>0,999932100916645+0,105766911196817i</v>
      </c>
      <c r="AA264" s="4">
        <f t="shared" si="230"/>
        <v>1.00551024159264</v>
      </c>
      <c r="AB264" s="4">
        <f t="shared" si="231"/>
        <v>0.105382247783649</v>
      </c>
      <c r="AC264" s="67" t="str">
        <f t="shared" si="232"/>
        <v>-0,458951106884585-2,77802338548045i</v>
      </c>
      <c r="AD264" s="68">
        <f t="shared" si="233"/>
        <v>8.99166383132535</v>
      </c>
      <c r="AE264" s="31">
        <f t="shared" si="234"/>
        <v>-99.3809747192838</v>
      </c>
      <c r="AF264" s="32" t="str">
        <f t="shared" si="235"/>
        <v>326,048966736478</v>
      </c>
      <c r="AG264" s="32" t="str">
        <f t="shared" si="217"/>
        <v>1+15,2215596673461i</v>
      </c>
      <c r="AH264" s="32">
        <f t="shared" si="236"/>
        <v>15.254372445518</v>
      </c>
      <c r="AI264" s="32">
        <f t="shared" si="237"/>
        <v>1.50519430778768</v>
      </c>
      <c r="AJ264" s="32" t="str">
        <f t="shared" si="218"/>
        <v>1+0,284135780457127i</v>
      </c>
      <c r="AK264" s="32">
        <f t="shared" si="238"/>
        <v>1.03958315768195</v>
      </c>
      <c r="AL264" s="32">
        <f t="shared" si="239"/>
        <v>0.276839678498291</v>
      </c>
      <c r="AM264" s="32" t="str">
        <f t="shared" si="219"/>
        <v>1-0,0468922950263849i</v>
      </c>
      <c r="AN264" s="32">
        <f t="shared" si="240"/>
        <v>1.00109883994181</v>
      </c>
      <c r="AO264" s="32">
        <f t="shared" si="241"/>
        <v>-0.0468579700099431</v>
      </c>
      <c r="AP264" s="30" t="str">
        <f t="shared" si="242"/>
        <v>6,47981555259708-21,2799057775996i</v>
      </c>
      <c r="AQ264" s="32">
        <f t="shared" si="243"/>
        <v>26.9444935093831</v>
      </c>
      <c r="AR264" s="31">
        <f t="shared" si="244"/>
        <v>-73.0642999217592</v>
      </c>
      <c r="AS264" t="str">
        <f t="shared" si="220"/>
        <v>-0,000100699300699301</v>
      </c>
      <c r="AT264" t="str">
        <f t="shared" si="221"/>
        <v>0,00407176721101507i</v>
      </c>
      <c r="AU264">
        <f t="shared" si="245"/>
        <v>0.00407176721101507</v>
      </c>
      <c r="AV264">
        <f t="shared" si="246"/>
        <v>1.5707963267949</v>
      </c>
      <c r="AW264" t="str">
        <f t="shared" si="222"/>
        <v>1+0,208467012842995i</v>
      </c>
      <c r="AX264">
        <f t="shared" si="247"/>
        <v>1.02149816223216</v>
      </c>
      <c r="AY264">
        <f t="shared" si="248"/>
        <v>0.205523504567431</v>
      </c>
      <c r="AZ264" t="str">
        <f t="shared" si="223"/>
        <v>1+9,9664974012385i</v>
      </c>
      <c r="BA264">
        <f t="shared" si="249"/>
        <v>10.0165398441225</v>
      </c>
      <c r="BB264">
        <f t="shared" si="250"/>
        <v>1.47079486144749</v>
      </c>
      <c r="BC264" s="30" t="str">
        <f t="shared" si="251"/>
        <v>-0,231275964527505+0,0729445140420953i</v>
      </c>
      <c r="BD264" s="32">
        <f t="shared" si="252"/>
        <v>-12.3055270573088</v>
      </c>
      <c r="BE264" s="31">
        <f t="shared" si="253"/>
        <v>162.494708688019</v>
      </c>
      <c r="BF264" s="30" t="str">
        <f t="shared" si="254"/>
        <v>0,308785925767146+0,609012072496178i</v>
      </c>
      <c r="BG264" s="68">
        <f t="shared" si="255"/>
        <v>-3.31386322598346</v>
      </c>
      <c r="BH264" s="31">
        <f t="shared" si="256"/>
        <v>63.1137339687347</v>
      </c>
      <c r="BI264" s="30" t="str">
        <f t="shared" si="263"/>
        <v>0,0536267939213613+5,39419773033538i</v>
      </c>
      <c r="BJ264" s="68">
        <f t="shared" si="257"/>
        <v>14.6389664520743</v>
      </c>
      <c r="BK264" s="31">
        <f t="shared" si="264"/>
        <v>89.4304087662593</v>
      </c>
      <c r="BL264" s="32">
        <f t="shared" si="258"/>
        <v>-3.31386322598346</v>
      </c>
      <c r="BM264" s="31">
        <f t="shared" si="259"/>
        <v>63.1137339687347</v>
      </c>
      <c r="BO264">
        <f t="shared" si="260"/>
        <v>0</v>
      </c>
      <c r="BP264">
        <f t="shared" si="261"/>
        <v>0</v>
      </c>
    </row>
    <row r="265" spans="14:68">
      <c r="N265" s="7">
        <v>47</v>
      </c>
      <c r="O265" s="18">
        <f t="shared" si="262"/>
        <v>2951.20922666639</v>
      </c>
      <c r="P265" s="86" t="str">
        <f t="shared" si="212"/>
        <v>60</v>
      </c>
      <c r="Q265" s="4" t="str">
        <f t="shared" si="213"/>
        <v>1+24,2295127498334i</v>
      </c>
      <c r="R265" s="4">
        <f t="shared" si="224"/>
        <v>24.2501399603041</v>
      </c>
      <c r="S265" s="4">
        <f t="shared" si="225"/>
        <v>1.52954775536211</v>
      </c>
      <c r="T265" s="4" t="str">
        <f t="shared" si="214"/>
        <v>1+0,290754152998001i</v>
      </c>
      <c r="U265" s="4">
        <f t="shared" si="226"/>
        <v>1.04141153128126</v>
      </c>
      <c r="V265" s="4">
        <f t="shared" si="227"/>
        <v>0.282952930482229</v>
      </c>
      <c r="W265" t="str">
        <f t="shared" si="215"/>
        <v>1-0,405628003624443i</v>
      </c>
      <c r="X265" s="4">
        <f t="shared" si="228"/>
        <v>1.07913580115032</v>
      </c>
      <c r="Y265" s="4">
        <f t="shared" si="229"/>
        <v>-0.385348669062048</v>
      </c>
      <c r="Z265" t="str">
        <f t="shared" si="216"/>
        <v>0,999928900931432+0,108230539042884i</v>
      </c>
      <c r="AA265" s="4">
        <f t="shared" si="230"/>
        <v>1.00576918649333</v>
      </c>
      <c r="AB265" s="4">
        <f t="shared" si="231"/>
        <v>0.107818492348783</v>
      </c>
      <c r="AC265" s="67" t="str">
        <f t="shared" si="232"/>
        <v>-0,464908151942938-2,72526043242101i</v>
      </c>
      <c r="AD265" s="68">
        <f t="shared" si="233"/>
        <v>8.83274315612292</v>
      </c>
      <c r="AE265" s="31">
        <f t="shared" si="234"/>
        <v>-99.6810191717549</v>
      </c>
      <c r="AF265" s="32" t="str">
        <f t="shared" si="235"/>
        <v>326,048966736478</v>
      </c>
      <c r="AG265" s="32" t="str">
        <f t="shared" si="217"/>
        <v>1+15,5761153391786i</v>
      </c>
      <c r="AH265" s="32">
        <f t="shared" si="236"/>
        <v>15.6081827596743</v>
      </c>
      <c r="AI265" s="32">
        <f t="shared" si="237"/>
        <v>1.50668345595126</v>
      </c>
      <c r="AJ265" s="32" t="str">
        <f t="shared" si="218"/>
        <v>1+0,290754152998001i</v>
      </c>
      <c r="AK265" s="32">
        <f t="shared" si="238"/>
        <v>1.04141153128126</v>
      </c>
      <c r="AL265" s="32">
        <f t="shared" si="239"/>
        <v>0.282952930482229</v>
      </c>
      <c r="AM265" s="32" t="str">
        <f t="shared" si="219"/>
        <v>1-0,0479845568924612i</v>
      </c>
      <c r="AN265" s="32">
        <f t="shared" si="240"/>
        <v>1.00115059691345</v>
      </c>
      <c r="AO265" s="32">
        <f t="shared" si="241"/>
        <v>-0.047947779257274</v>
      </c>
      <c r="AP265" s="30" t="str">
        <f t="shared" si="242"/>
        <v>6,41799338532045-20,8126292505933i</v>
      </c>
      <c r="AQ265" s="32">
        <f t="shared" si="243"/>
        <v>26.761045588261</v>
      </c>
      <c r="AR265" s="31">
        <f t="shared" si="244"/>
        <v>-72.8617997591689</v>
      </c>
      <c r="AS265" t="str">
        <f t="shared" si="220"/>
        <v>-0,000100699300699301</v>
      </c>
      <c r="AT265" t="str">
        <f t="shared" si="221"/>
        <v>0,00416661085323027i</v>
      </c>
      <c r="AU265">
        <f t="shared" si="245"/>
        <v>0.00416661085323027</v>
      </c>
      <c r="AV265">
        <f t="shared" si="246"/>
        <v>1.5707963267949</v>
      </c>
      <c r="AW265" t="str">
        <f t="shared" si="222"/>
        <v>1+0,213322833363939i</v>
      </c>
      <c r="AX265">
        <f t="shared" si="247"/>
        <v>1.02250018642268</v>
      </c>
      <c r="AY265">
        <f t="shared" si="248"/>
        <v>0.210172543735051</v>
      </c>
      <c r="AZ265" t="str">
        <f t="shared" si="223"/>
        <v>1+10,1986469482717i</v>
      </c>
      <c r="BA265">
        <f t="shared" si="249"/>
        <v>10.2475557854296</v>
      </c>
      <c r="BB265">
        <f t="shared" si="250"/>
        <v>1.47305653644372</v>
      </c>
      <c r="BC265" s="30" t="str">
        <f t="shared" si="251"/>
        <v>-0,230822897501114+0,0734079504059237i</v>
      </c>
      <c r="BD265" s="32">
        <f t="shared" si="252"/>
        <v>-12.3159918161804</v>
      </c>
      <c r="BE265" s="31">
        <f t="shared" si="253"/>
        <v>162.357922796837</v>
      </c>
      <c r="BF265" s="30" t="str">
        <f t="shared" si="254"/>
        <v>0,307367229369745+0,59492455489542i</v>
      </c>
      <c r="BG265" s="68">
        <f t="shared" si="255"/>
        <v>-3.48324866005748</v>
      </c>
      <c r="BH265" s="31">
        <f t="shared" si="256"/>
        <v>62.6769036250819</v>
      </c>
      <c r="BI265" s="30" t="str">
        <f t="shared" si="263"/>
        <v>0,04639262650178+5,27516312837353i</v>
      </c>
      <c r="BJ265" s="68">
        <f t="shared" si="257"/>
        <v>14.4450537720806</v>
      </c>
      <c r="BK265" s="31">
        <f t="shared" si="264"/>
        <v>89.4961230376679</v>
      </c>
      <c r="BL265" s="32">
        <f t="shared" si="258"/>
        <v>-3.48324866005748</v>
      </c>
      <c r="BM265" s="31">
        <f t="shared" si="259"/>
        <v>62.6769036250819</v>
      </c>
      <c r="BO265">
        <f t="shared" si="260"/>
        <v>0</v>
      </c>
      <c r="BP265">
        <f t="shared" si="261"/>
        <v>0</v>
      </c>
    </row>
    <row r="266" spans="14:68">
      <c r="N266" s="7">
        <v>48</v>
      </c>
      <c r="O266" s="18">
        <f t="shared" si="262"/>
        <v>3019.95172040202</v>
      </c>
      <c r="P266" s="86" t="str">
        <f t="shared" si="212"/>
        <v>60</v>
      </c>
      <c r="Q266" s="4" t="str">
        <f t="shared" si="213"/>
        <v>1+24,7938906032817i</v>
      </c>
      <c r="R266" s="4">
        <f t="shared" si="224"/>
        <v>24.814048666985</v>
      </c>
      <c r="S266" s="4">
        <f t="shared" si="225"/>
        <v>1.53048565884357</v>
      </c>
      <c r="T266" s="4" t="str">
        <f t="shared" si="214"/>
        <v>1+0,29752668723938i</v>
      </c>
      <c r="U266" s="4">
        <f t="shared" si="226"/>
        <v>1.04332263927303</v>
      </c>
      <c r="V266" s="4">
        <f t="shared" si="227"/>
        <v>0.289186158415539</v>
      </c>
      <c r="W266" t="str">
        <f t="shared" si="215"/>
        <v>1-0,415076293581725i</v>
      </c>
      <c r="X266" s="4">
        <f t="shared" si="228"/>
        <v>1.08272264661526</v>
      </c>
      <c r="Y266" s="4">
        <f t="shared" si="229"/>
        <v>-0.393435244168583</v>
      </c>
      <c r="Z266" t="str">
        <f t="shared" si="216"/>
        <v>0,999925550135563+0,110751552153351i</v>
      </c>
      <c r="AA266" s="4">
        <f t="shared" si="230"/>
        <v>1.00604026366656</v>
      </c>
      <c r="AB266" s="4">
        <f t="shared" si="231"/>
        <v>0.110310179204259</v>
      </c>
      <c r="AC266" s="67" t="str">
        <f t="shared" si="232"/>
        <v>-0,470699194892165-2,67391331910937i</v>
      </c>
      <c r="AD266" s="68">
        <f t="shared" si="233"/>
        <v>8.67548220836302</v>
      </c>
      <c r="AE266" s="31">
        <f t="shared" si="234"/>
        <v>-99.9837091945183</v>
      </c>
      <c r="AF266" s="32" t="str">
        <f t="shared" si="235"/>
        <v>326,048966736478</v>
      </c>
      <c r="AG266" s="32" t="str">
        <f t="shared" si="217"/>
        <v>1+15,9389296735382i</v>
      </c>
      <c r="AH266" s="32">
        <f t="shared" si="236"/>
        <v>15.9702685994318</v>
      </c>
      <c r="AI266" s="32">
        <f t="shared" si="237"/>
        <v>1.50813898215489</v>
      </c>
      <c r="AJ266" s="32" t="str">
        <f t="shared" si="218"/>
        <v>1+0,29752668723938i</v>
      </c>
      <c r="AK266" s="32">
        <f t="shared" si="238"/>
        <v>1.04332263927303</v>
      </c>
      <c r="AL266" s="32">
        <f t="shared" si="239"/>
        <v>0.289186158415539</v>
      </c>
      <c r="AM266" s="32" t="str">
        <f t="shared" si="219"/>
        <v>1-0,0491022608057528i</v>
      </c>
      <c r="AN266" s="32">
        <f t="shared" si="240"/>
        <v>1.00120479024835</v>
      </c>
      <c r="AO266" s="32">
        <f t="shared" si="241"/>
        <v>-0.0490628554203614</v>
      </c>
      <c r="AP266" s="30" t="str">
        <f t="shared" si="242"/>
        <v>6,35893134082207-20,3560318894346i</v>
      </c>
      <c r="AQ266" s="32">
        <f t="shared" si="243"/>
        <v>26.5782431583465</v>
      </c>
      <c r="AR266" s="31">
        <f t="shared" si="244"/>
        <v>-72.6519467722662</v>
      </c>
      <c r="AS266" t="str">
        <f t="shared" si="220"/>
        <v>-0,000100699300699301</v>
      </c>
      <c r="AT266" t="str">
        <f t="shared" si="221"/>
        <v>0,00426366368767147i</v>
      </c>
      <c r="AU266">
        <f t="shared" si="245"/>
        <v>0.00426366368767147</v>
      </c>
      <c r="AV266">
        <f t="shared" si="246"/>
        <v>1.5707963267949</v>
      </c>
      <c r="AW266" t="str">
        <f t="shared" si="222"/>
        <v>1+0,218291760474794i</v>
      </c>
      <c r="AX266">
        <f t="shared" si="247"/>
        <v>1.02354838317062</v>
      </c>
      <c r="AY266">
        <f t="shared" si="248"/>
        <v>0.214920344491304</v>
      </c>
      <c r="AZ266" t="str">
        <f t="shared" si="223"/>
        <v>1+10,4362039529119i</v>
      </c>
      <c r="BA266">
        <f t="shared" si="249"/>
        <v>10.4840046235574</v>
      </c>
      <c r="BB266">
        <f t="shared" si="250"/>
        <v>1.47526769914293</v>
      </c>
      <c r="BC266" s="30" t="str">
        <f t="shared" si="251"/>
        <v>-0,23035037675393+0,0739016107805722i</v>
      </c>
      <c r="BD266" s="32">
        <f t="shared" si="252"/>
        <v>-12.3267531788846</v>
      </c>
      <c r="BE266" s="31">
        <f t="shared" si="253"/>
        <v>162.212584142016</v>
      </c>
      <c r="BF266" s="30" t="str">
        <f t="shared" si="254"/>
        <v>0,30603223825099+0,581151511768545i</v>
      </c>
      <c r="BG266" s="68">
        <f t="shared" si="255"/>
        <v>-3.65127097052155</v>
      </c>
      <c r="BH266" s="31">
        <f t="shared" si="256"/>
        <v>62.2288749474978</v>
      </c>
      <c r="BI266" s="30" t="str">
        <f t="shared" si="263"/>
        <v>0,0395613156191743+5,15895488387609i</v>
      </c>
      <c r="BJ266" s="68">
        <f t="shared" si="257"/>
        <v>14.2514899794619</v>
      </c>
      <c r="BK266" s="31">
        <f t="shared" si="264"/>
        <v>89.5606373697499</v>
      </c>
      <c r="BL266" s="32">
        <f t="shared" si="258"/>
        <v>-3.65127097052155</v>
      </c>
      <c r="BM266" s="31">
        <f t="shared" si="259"/>
        <v>62.2288749474978</v>
      </c>
      <c r="BO266">
        <f t="shared" si="260"/>
        <v>0</v>
      </c>
      <c r="BP266">
        <f t="shared" si="261"/>
        <v>0</v>
      </c>
    </row>
    <row r="267" spans="14:68">
      <c r="N267" s="7">
        <v>49</v>
      </c>
      <c r="O267" s="18">
        <f t="shared" si="262"/>
        <v>3090.29543251359</v>
      </c>
      <c r="P267" s="86" t="str">
        <f t="shared" si="212"/>
        <v>60</v>
      </c>
      <c r="Q267" s="4" t="str">
        <f t="shared" si="213"/>
        <v>1+25,3714145057138i</v>
      </c>
      <c r="R267" s="4">
        <f t="shared" si="224"/>
        <v>25.3911140760059</v>
      </c>
      <c r="S267" s="4">
        <f t="shared" si="225"/>
        <v>1.53140228160614</v>
      </c>
      <c r="T267" s="4" t="str">
        <f t="shared" si="214"/>
        <v>1+0,304456974068565i</v>
      </c>
      <c r="U267" s="4">
        <f t="shared" si="226"/>
        <v>1.04532007015028</v>
      </c>
      <c r="V267" s="4">
        <f t="shared" si="227"/>
        <v>0.295540729058418</v>
      </c>
      <c r="W267" t="str">
        <f t="shared" si="215"/>
        <v>1-0,424744662484048i</v>
      </c>
      <c r="X267" s="4">
        <f t="shared" si="228"/>
        <v>1.08646584313944</v>
      </c>
      <c r="Y267" s="4">
        <f t="shared" si="229"/>
        <v>-0.401654354389102</v>
      </c>
      <c r="Z267" t="str">
        <f t="shared" si="216"/>
        <v>0,999922041421549+0,113331287202741i</v>
      </c>
      <c r="AA267" s="4">
        <f t="shared" si="230"/>
        <v>1.00632403806113</v>
      </c>
      <c r="AB267" s="4">
        <f t="shared" si="231"/>
        <v>0.11285850793205</v>
      </c>
      <c r="AC267" s="67" t="str">
        <f t="shared" si="232"/>
        <v>-0,476336249902562-2,62395523726949i</v>
      </c>
      <c r="AD267" s="68">
        <f t="shared" si="233"/>
        <v>8.5199402630248</v>
      </c>
      <c r="AE267" s="31">
        <f t="shared" si="234"/>
        <v>-100.289066539667</v>
      </c>
      <c r="AF267" s="32" t="str">
        <f t="shared" si="235"/>
        <v>326,048966736478</v>
      </c>
      <c r="AG267" s="32" t="str">
        <f t="shared" si="217"/>
        <v>1+16,3101950393874i</v>
      </c>
      <c r="AH267" s="32">
        <f t="shared" si="236"/>
        <v>16.34082195677</v>
      </c>
      <c r="AI267" s="32">
        <f t="shared" si="237"/>
        <v>1.50956163345499</v>
      </c>
      <c r="AJ267" s="32" t="str">
        <f t="shared" si="218"/>
        <v>1+0,304456974068565i</v>
      </c>
      <c r="AK267" s="32">
        <f t="shared" si="238"/>
        <v>1.04532007015028</v>
      </c>
      <c r="AL267" s="32">
        <f t="shared" si="239"/>
        <v>0.295540729058418</v>
      </c>
      <c r="AM267" s="32" t="str">
        <f t="shared" si="219"/>
        <v>1-0,0502459993876687i</v>
      </c>
      <c r="AN267" s="32">
        <f t="shared" si="240"/>
        <v>1.00126153449259</v>
      </c>
      <c r="AO267" s="32">
        <f t="shared" si="241"/>
        <v>-0.0502037786292036</v>
      </c>
      <c r="AP267" s="30" t="str">
        <f t="shared" si="242"/>
        <v>6,30250714688305-19,9098951750163i</v>
      </c>
      <c r="AQ267" s="32">
        <f t="shared" si="243"/>
        <v>26.3961150248064</v>
      </c>
      <c r="AR267" s="31">
        <f t="shared" si="244"/>
        <v>-72.4347386936412</v>
      </c>
      <c r="AS267" t="str">
        <f t="shared" si="220"/>
        <v>-0,000100699300699301</v>
      </c>
      <c r="AT267" t="str">
        <f t="shared" si="221"/>
        <v>0,00436297717303613i</v>
      </c>
      <c r="AU267">
        <f t="shared" si="245"/>
        <v>0.00436297717303613</v>
      </c>
      <c r="AV267">
        <f t="shared" si="246"/>
        <v>1.5707963267949</v>
      </c>
      <c r="AW267" t="str">
        <f t="shared" si="222"/>
        <v>1+0,223376428766485i</v>
      </c>
      <c r="AX267">
        <f t="shared" si="247"/>
        <v>1.02464483062594</v>
      </c>
      <c r="AY267">
        <f t="shared" si="248"/>
        <v>0.219768567603031</v>
      </c>
      <c r="AZ267" t="str">
        <f t="shared" si="223"/>
        <v>1+10,6792943710275i</v>
      </c>
      <c r="BA267">
        <f t="shared" si="249"/>
        <v>10.7260117594127</v>
      </c>
      <c r="BB267">
        <f t="shared" si="250"/>
        <v>1.47742943539804</v>
      </c>
      <c r="BC267" s="30" t="str">
        <f t="shared" si="251"/>
        <v>-0,229857655873602+0,0744251920014461i</v>
      </c>
      <c r="BD267" s="32">
        <f t="shared" si="252"/>
        <v>-12.337831414921</v>
      </c>
      <c r="BE267" s="31">
        <f t="shared" si="253"/>
        <v>162.058659783415</v>
      </c>
      <c r="BF267" s="30" t="str">
        <f t="shared" si="254"/>
        <v>0,304777906147207+0,567684783099779i</v>
      </c>
      <c r="BG267" s="68">
        <f t="shared" si="255"/>
        <v>-3.81789115189617</v>
      </c>
      <c r="BH267" s="31">
        <f t="shared" si="256"/>
        <v>61.7695932437471</v>
      </c>
      <c r="BI267" s="30" t="str">
        <f t="shared" si="263"/>
        <v>0,0331182522200919+5,04550713811564i</v>
      </c>
      <c r="BJ267" s="68">
        <f t="shared" si="257"/>
        <v>14.0582836098854</v>
      </c>
      <c r="BK267" s="31">
        <f t="shared" si="264"/>
        <v>89.6239210897734</v>
      </c>
      <c r="BL267" s="32">
        <f t="shared" si="258"/>
        <v>-3.81789115189617</v>
      </c>
      <c r="BM267" s="31">
        <f t="shared" si="259"/>
        <v>61.7695932437471</v>
      </c>
      <c r="BO267">
        <f t="shared" si="260"/>
        <v>0</v>
      </c>
      <c r="BP267">
        <f t="shared" si="261"/>
        <v>0</v>
      </c>
    </row>
    <row r="268" spans="14:68">
      <c r="N268" s="7">
        <v>50</v>
      </c>
      <c r="O268" s="18">
        <f t="shared" si="262"/>
        <v>3162.27766016838</v>
      </c>
      <c r="P268" s="86" t="str">
        <f t="shared" si="212"/>
        <v>60</v>
      </c>
      <c r="Q268" s="4" t="str">
        <f t="shared" si="213"/>
        <v>1+25,9623906679471i</v>
      </c>
      <c r="R268" s="4">
        <f t="shared" si="224"/>
        <v>25.9816421573985</v>
      </c>
      <c r="S268" s="4">
        <f t="shared" si="225"/>
        <v>1.53229810349068</v>
      </c>
      <c r="T268" s="4" t="str">
        <f t="shared" si="214"/>
        <v>1+0,311548688015366i</v>
      </c>
      <c r="U268" s="4">
        <f t="shared" si="226"/>
        <v>1.04740755439518</v>
      </c>
      <c r="V268" s="4">
        <f t="shared" si="227"/>
        <v>0.302017958114375</v>
      </c>
      <c r="W268" t="str">
        <f t="shared" si="215"/>
        <v>1-0,434638236628579i</v>
      </c>
      <c r="X268" s="4">
        <f t="shared" si="228"/>
        <v>1.09037167825453</v>
      </c>
      <c r="Y268" s="4">
        <f t="shared" si="229"/>
        <v>-0.410005914698691</v>
      </c>
      <c r="Z268" t="str">
        <f t="shared" si="216"/>
        <v>0,999918367346939+0,115971112000722i</v>
      </c>
      <c r="AA268" s="4">
        <f t="shared" si="230"/>
        <v>1.00662110060164</v>
      </c>
      <c r="AB268" s="4">
        <f t="shared" si="231"/>
        <v>0.115464699669153</v>
      </c>
      <c r="AC268" s="67" t="str">
        <f t="shared" si="232"/>
        <v>-0,481830996947552-2,57535998234001i</v>
      </c>
      <c r="AD268" s="68">
        <f t="shared" si="233"/>
        <v>8.36617775990532</v>
      </c>
      <c r="AE268" s="31">
        <f t="shared" si="234"/>
        <v>-100.597108410228</v>
      </c>
      <c r="AF268" s="32" t="str">
        <f t="shared" si="235"/>
        <v>326,048966736478</v>
      </c>
      <c r="AG268" s="32" t="str">
        <f t="shared" si="217"/>
        <v>1+16,6901082865375i</v>
      </c>
      <c r="AH268" s="32">
        <f t="shared" si="236"/>
        <v>16.7200393126436</v>
      </c>
      <c r="AI268" s="32">
        <f t="shared" si="237"/>
        <v>1.51095214111227</v>
      </c>
      <c r="AJ268" s="32" t="str">
        <f t="shared" si="218"/>
        <v>1+0,311548688015366i</v>
      </c>
      <c r="AK268" s="32">
        <f t="shared" si="238"/>
        <v>1.04740755439518</v>
      </c>
      <c r="AL268" s="32">
        <f t="shared" si="239"/>
        <v>0.302017958114375</v>
      </c>
      <c r="AM268" s="32" t="str">
        <f t="shared" si="219"/>
        <v>1-0,0514163790635444i</v>
      </c>
      <c r="AN268" s="32">
        <f t="shared" si="240"/>
        <v>1.00132094956413</v>
      </c>
      <c r="AO268" s="32">
        <f t="shared" si="241"/>
        <v>-0.051371141928469</v>
      </c>
      <c r="AP268" s="30" t="str">
        <f t="shared" si="242"/>
        <v>6,24860386398136-19,4740045810099i</v>
      </c>
      <c r="AQ268" s="32">
        <f t="shared" si="243"/>
        <v>26.2146907693568</v>
      </c>
      <c r="AR268" s="31">
        <f t="shared" si="244"/>
        <v>-72.2101760161443</v>
      </c>
      <c r="AS268" t="str">
        <f t="shared" si="220"/>
        <v>-0,000100699300699301</v>
      </c>
      <c r="AT268" t="str">
        <f t="shared" si="221"/>
        <v>0,00446460396664877i</v>
      </c>
      <c r="AU268">
        <f t="shared" si="245"/>
        <v>0.00446460396664877</v>
      </c>
      <c r="AV268">
        <f t="shared" si="246"/>
        <v>1.5707963267949</v>
      </c>
      <c r="AW268" t="str">
        <f t="shared" si="222"/>
        <v>1+0,228579534197445i</v>
      </c>
      <c r="AX268">
        <f t="shared" si="247"/>
        <v>1.0257916959373</v>
      </c>
      <c r="AY268">
        <f t="shared" si="248"/>
        <v>0.224718871575533</v>
      </c>
      <c r="AZ268" t="str">
        <f t="shared" si="223"/>
        <v>1+10,9280470923757i</v>
      </c>
      <c r="BA268">
        <f t="shared" si="249"/>
        <v>10.9737055388406</v>
      </c>
      <c r="BB268">
        <f t="shared" si="250"/>
        <v>1.47954281052954</v>
      </c>
      <c r="BC268" s="30" t="str">
        <f t="shared" si="251"/>
        <v>-0,229343967942575+0,0749783728046456i</v>
      </c>
      <c r="BD268" s="32">
        <f t="shared" si="252"/>
        <v>-12.3492472542739</v>
      </c>
      <c r="BE268" s="31">
        <f t="shared" si="253"/>
        <v>161.896115734046</v>
      </c>
      <c r="BF268" s="30" t="str">
        <f t="shared" si="254"/>
        <v>0,303601333579733+0,55451637311241i</v>
      </c>
      <c r="BG268" s="68">
        <f t="shared" si="255"/>
        <v>-3.98306949436858</v>
      </c>
      <c r="BH268" s="31">
        <f t="shared" si="256"/>
        <v>61.299007323819</v>
      </c>
      <c r="BI268" s="30" t="str">
        <f t="shared" si="263"/>
        <v>0,0270495712075451+4,93475563236284i</v>
      </c>
      <c r="BJ268" s="68">
        <f t="shared" si="257"/>
        <v>13.8654435150829</v>
      </c>
      <c r="BK268" s="31">
        <f t="shared" si="264"/>
        <v>89.6859397179021</v>
      </c>
      <c r="BL268" s="32">
        <f t="shared" si="258"/>
        <v>-3.98306949436858</v>
      </c>
      <c r="BM268" s="31">
        <f t="shared" si="259"/>
        <v>61.299007323819</v>
      </c>
      <c r="BO268">
        <f t="shared" si="260"/>
        <v>0</v>
      </c>
      <c r="BP268">
        <f t="shared" si="261"/>
        <v>0</v>
      </c>
    </row>
    <row r="269" spans="14:68">
      <c r="N269" s="7">
        <v>51</v>
      </c>
      <c r="O269" s="18">
        <f t="shared" si="262"/>
        <v>3235.93656929628</v>
      </c>
      <c r="P269" s="86" t="str">
        <f t="shared" si="212"/>
        <v>60</v>
      </c>
      <c r="Q269" s="4" t="str">
        <f t="shared" si="213"/>
        <v>1+26,5671324333655i</v>
      </c>
      <c r="R269" s="4">
        <f t="shared" si="224"/>
        <v>26.5859460191279</v>
      </c>
      <c r="S269" s="4">
        <f t="shared" si="225"/>
        <v>1.53317359371938</v>
      </c>
      <c r="T269" s="4" t="str">
        <f t="shared" si="214"/>
        <v>1+0,318805589200387i</v>
      </c>
      <c r="U269" s="4">
        <f t="shared" si="226"/>
        <v>1.04958896893279</v>
      </c>
      <c r="V269" s="4">
        <f t="shared" si="227"/>
        <v>0.308619105112336</v>
      </c>
      <c r="W269" t="str">
        <f t="shared" si="215"/>
        <v>1-0,444762261719289i</v>
      </c>
      <c r="X269" s="4">
        <f t="shared" si="228"/>
        <v>1.09444664988736</v>
      </c>
      <c r="Y269" s="4">
        <f t="shared" si="229"/>
        <v>-0.418489692079578</v>
      </c>
      <c r="Z269" t="str">
        <f t="shared" si="216"/>
        <v>0,999914520118526+0,118672426217345i</v>
      </c>
      <c r="AA269" s="4">
        <f t="shared" si="230"/>
        <v>1.00693206935134</v>
      </c>
      <c r="AB269" s="4">
        <f t="shared" si="231"/>
        <v>0.118129997174528</v>
      </c>
      <c r="AC269" s="67" t="str">
        <f t="shared" si="232"/>
        <v>-0,487194804329948-2,52810194128805i</v>
      </c>
      <c r="AD269" s="68">
        <f t="shared" si="233"/>
        <v>8.21425625833506</v>
      </c>
      <c r="AE269" s="31">
        <f t="shared" si="234"/>
        <v>-100.907847378866</v>
      </c>
      <c r="AF269" s="32" t="str">
        <f t="shared" si="235"/>
        <v>326,048966736478</v>
      </c>
      <c r="AG269" s="32" t="str">
        <f t="shared" si="217"/>
        <v>1+17,0788708500207i</v>
      </c>
      <c r="AH269" s="32">
        <f t="shared" si="236"/>
        <v>17.108121741199</v>
      </c>
      <c r="AI269" s="32">
        <f t="shared" si="237"/>
        <v>1.51231122087164</v>
      </c>
      <c r="AJ269" s="32" t="str">
        <f t="shared" si="218"/>
        <v>1+0,318805589200387i</v>
      </c>
      <c r="AK269" s="32">
        <f t="shared" si="238"/>
        <v>1.04958896893279</v>
      </c>
      <c r="AL269" s="32">
        <f t="shared" si="239"/>
        <v>0.308619105112336</v>
      </c>
      <c r="AM269" s="32" t="str">
        <f t="shared" si="219"/>
        <v>1-0,0526140203841758i</v>
      </c>
      <c r="AN269" s="32">
        <f t="shared" si="240"/>
        <v>1.00138316100331</v>
      </c>
      <c r="AO269" s="32">
        <f t="shared" si="241"/>
        <v>-0.0525655515359321</v>
      </c>
      <c r="AP269" s="30" t="str">
        <f t="shared" si="242"/>
        <v>6,19710966009366-19,0481495616677i</v>
      </c>
      <c r="AQ269" s="32">
        <f t="shared" si="243"/>
        <v>26.0340007605281</v>
      </c>
      <c r="AR269" s="31">
        <f t="shared" si="244"/>
        <v>-71.9782623169668</v>
      </c>
      <c r="AS269" t="str">
        <f t="shared" si="220"/>
        <v>-0,000100699300699301</v>
      </c>
      <c r="AT269" t="str">
        <f t="shared" si="221"/>
        <v>0,00456859795238054i</v>
      </c>
      <c r="AU269">
        <f t="shared" si="245"/>
        <v>0.00456859795238054</v>
      </c>
      <c r="AV269">
        <f t="shared" si="246"/>
        <v>1.5707963267949</v>
      </c>
      <c r="AW269" t="str">
        <f t="shared" si="222"/>
        <v>1+0,233903835523044i</v>
      </c>
      <c r="AX269">
        <f t="shared" si="247"/>
        <v>1.02699123865415</v>
      </c>
      <c r="AY269">
        <f t="shared" si="248"/>
        <v>0.229772910209199</v>
      </c>
      <c r="AZ269" t="str">
        <f t="shared" si="223"/>
        <v>1+11,1825940089421i</v>
      </c>
      <c r="BA269">
        <f t="shared" si="249"/>
        <v>11.2272173208159</v>
      </c>
      <c r="BB269">
        <f t="shared" si="250"/>
        <v>1.48160886952256</v>
      </c>
      <c r="BC269" s="30" t="str">
        <f t="shared" si="251"/>
        <v>-0,228808525748376+0,0755608119261713i</v>
      </c>
      <c r="BD269" s="32">
        <f t="shared" si="252"/>
        <v>-12.3610219112895</v>
      </c>
      <c r="BE269" s="31">
        <f t="shared" si="253"/>
        <v>161.724917111366</v>
      </c>
      <c r="BF269" s="30" t="str">
        <f t="shared" si="254"/>
        <v>0,302499760246859+0,541638443146343i</v>
      </c>
      <c r="BG269" s="68">
        <f t="shared" si="255"/>
        <v>-4.14676565295446</v>
      </c>
      <c r="BH269" s="31">
        <f t="shared" si="256"/>
        <v>60.8170697324999</v>
      </c>
      <c r="BI269" s="30" t="str">
        <f t="shared" si="263"/>
        <v>0,0213421213437055+4,82663765695196i</v>
      </c>
      <c r="BJ269" s="68">
        <f t="shared" si="257"/>
        <v>13.6729788492386</v>
      </c>
      <c r="BK269" s="31">
        <f t="shared" si="264"/>
        <v>89.7466547943994</v>
      </c>
      <c r="BL269" s="32">
        <f t="shared" si="258"/>
        <v>-4.14676565295446</v>
      </c>
      <c r="BM269" s="31">
        <f t="shared" si="259"/>
        <v>60.8170697324999</v>
      </c>
      <c r="BO269">
        <f t="shared" si="260"/>
        <v>0</v>
      </c>
      <c r="BP269">
        <f t="shared" si="261"/>
        <v>0</v>
      </c>
    </row>
    <row r="270" spans="14:68">
      <c r="N270" s="7">
        <v>52</v>
      </c>
      <c r="O270" s="18">
        <f t="shared" si="262"/>
        <v>3311.31121482591</v>
      </c>
      <c r="P270" s="86" t="str">
        <f t="shared" si="212"/>
        <v>60</v>
      </c>
      <c r="Q270" s="4" t="str">
        <f t="shared" si="213"/>
        <v>1+27,1859604440576i</v>
      </c>
      <c r="R270" s="4">
        <f t="shared" si="224"/>
        <v>27.204346073116</v>
      </c>
      <c r="S270" s="4">
        <f t="shared" si="225"/>
        <v>1.53402921111728</v>
      </c>
      <c r="T270" s="4" t="str">
        <f t="shared" si="214"/>
        <v>1+0,326231525328692i</v>
      </c>
      <c r="U270" s="4">
        <f t="shared" si="226"/>
        <v>1.05186834162755</v>
      </c>
      <c r="V270" s="4">
        <f t="shared" si="227"/>
        <v>0.315345368080178</v>
      </c>
      <c r="W270" t="str">
        <f t="shared" si="215"/>
        <v>1-0,455122105648287i</v>
      </c>
      <c r="X270" s="4">
        <f t="shared" si="228"/>
        <v>1.09869747021176</v>
      </c>
      <c r="Y270" s="4">
        <f t="shared" si="229"/>
        <v>-0.427105298771667</v>
      </c>
      <c r="Z270" t="str">
        <f t="shared" si="216"/>
        <v>0,999910491575825+0,121436662125164i</v>
      </c>
      <c r="AA270" s="4">
        <f t="shared" si="230"/>
        <v>1.00725759072419</v>
      </c>
      <c r="AB270" s="4">
        <f t="shared" si="231"/>
        <v>0.120855664868996</v>
      </c>
      <c r="AC270" s="67" t="str">
        <f t="shared" si="232"/>
        <v>-0,492438750476894-2,48215608016973i</v>
      </c>
      <c r="AD270" s="68">
        <f t="shared" si="233"/>
        <v>8.06423838487677</v>
      </c>
      <c r="AE270" s="31">
        <f t="shared" si="234"/>
        <v>-101.221291321341</v>
      </c>
      <c r="AF270" s="32" t="str">
        <f t="shared" si="235"/>
        <v>326,048966736478</v>
      </c>
      <c r="AG270" s="32" t="str">
        <f t="shared" si="217"/>
        <v>1+17,4766888568942i</v>
      </c>
      <c r="AH270" s="32">
        <f t="shared" si="236"/>
        <v>17.5052750164255</v>
      </c>
      <c r="AI270" s="32">
        <f t="shared" si="237"/>
        <v>1.513639573241</v>
      </c>
      <c r="AJ270" s="32" t="str">
        <f t="shared" si="218"/>
        <v>1+0,326231525328692i</v>
      </c>
      <c r="AK270" s="32">
        <f t="shared" si="238"/>
        <v>1.05186834162755</v>
      </c>
      <c r="AL270" s="32">
        <f t="shared" si="239"/>
        <v>0.315345368080178</v>
      </c>
      <c r="AM270" s="32" t="str">
        <f t="shared" si="219"/>
        <v>1-0,0538395583548437i</v>
      </c>
      <c r="AN270" s="32">
        <f t="shared" si="240"/>
        <v>1.00144830023514</v>
      </c>
      <c r="AO270" s="32">
        <f t="shared" si="241"/>
        <v>-0.0537876271039478</v>
      </c>
      <c r="AP270" s="30" t="str">
        <f t="shared" si="242"/>
        <v>6,14791759435271-18,6321235351877i</v>
      </c>
      <c r="AQ270" s="32">
        <f t="shared" si="243"/>
        <v>25.8540761619397</v>
      </c>
      <c r="AR270" s="31">
        <f t="shared" si="244"/>
        <v>-71.7390045937782</v>
      </c>
      <c r="AS270" t="str">
        <f t="shared" si="220"/>
        <v>-0,000100699300699301</v>
      </c>
      <c r="AT270" t="str">
        <f t="shared" si="221"/>
        <v>0,00467501426921921i</v>
      </c>
      <c r="AU270">
        <f t="shared" si="245"/>
        <v>0.00467501426921921</v>
      </c>
      <c r="AV270">
        <f t="shared" si="246"/>
        <v>1.5707963267949</v>
      </c>
      <c r="AW270" t="str">
        <f t="shared" si="222"/>
        <v>1+0,239352155758321i</v>
      </c>
      <c r="AX270">
        <f t="shared" si="247"/>
        <v>1.02824581422253</v>
      </c>
      <c r="AY270">
        <f t="shared" si="248"/>
        <v>0.234932329986025</v>
      </c>
      <c r="AZ270" t="str">
        <f t="shared" si="223"/>
        <v>1+11,4430700848712i</v>
      </c>
      <c r="BA270">
        <f t="shared" si="249"/>
        <v>11.4866815472213</v>
      </c>
      <c r="BB270">
        <f t="shared" si="250"/>
        <v>1.48362863723645</v>
      </c>
      <c r="BC270" s="30" t="str">
        <f t="shared" si="251"/>
        <v>-0,228250522086221+0,0761721461382278i</v>
      </c>
      <c r="BD270" s="32">
        <f t="shared" si="252"/>
        <v>-12.3731771080745</v>
      </c>
      <c r="BE270" s="31">
        <f t="shared" si="253"/>
        <v>161.545028299021</v>
      </c>
      <c r="BF270" s="30" t="str">
        <f t="shared" si="254"/>
        <v>0,301470557568417+0,529043304732777i</v>
      </c>
      <c r="BG270" s="68">
        <f t="shared" si="255"/>
        <v>-4.30893872319769</v>
      </c>
      <c r="BH270" s="31">
        <f t="shared" si="256"/>
        <v>60.3237369776793</v>
      </c>
      <c r="BI270" s="30" t="str">
        <f t="shared" si="263"/>
        <v>0,015983436133761+4,72109200192437i</v>
      </c>
      <c r="BJ270" s="68">
        <f t="shared" si="257"/>
        <v>13.4808990538652</v>
      </c>
      <c r="BK270" s="31">
        <f t="shared" si="264"/>
        <v>89.8060237052425</v>
      </c>
      <c r="BL270" s="32">
        <f t="shared" si="258"/>
        <v>-4.30893872319769</v>
      </c>
      <c r="BM270" s="31">
        <f t="shared" si="259"/>
        <v>60.3237369776793</v>
      </c>
      <c r="BO270">
        <f t="shared" si="260"/>
        <v>0</v>
      </c>
      <c r="BP270">
        <f t="shared" si="261"/>
        <v>0</v>
      </c>
    </row>
    <row r="271" spans="14:68">
      <c r="N271" s="7">
        <v>53</v>
      </c>
      <c r="O271" s="18">
        <f t="shared" si="262"/>
        <v>3388.44156139203</v>
      </c>
      <c r="P271" s="86" t="str">
        <f t="shared" si="212"/>
        <v>60</v>
      </c>
      <c r="Q271" s="4" t="str">
        <f t="shared" si="213"/>
        <v>1+27,8192028108261i</v>
      </c>
      <c r="R271" s="4">
        <f t="shared" si="224"/>
        <v>27.8371702051389</v>
      </c>
      <c r="S271" s="4">
        <f t="shared" si="225"/>
        <v>1.53486540433016</v>
      </c>
      <c r="T271" s="4" t="str">
        <f t="shared" si="214"/>
        <v>1+0,333830433729914i</v>
      </c>
      <c r="U271" s="4">
        <f t="shared" si="226"/>
        <v>1.05424985581422</v>
      </c>
      <c r="V271" s="4">
        <f t="shared" si="227"/>
        <v>0.3221978780143</v>
      </c>
      <c r="W271" t="str">
        <f t="shared" si="215"/>
        <v>1-0,465723261341955i</v>
      </c>
      <c r="X271" s="4">
        <f t="shared" si="228"/>
        <v>1.10313106934534</v>
      </c>
      <c r="Y271" s="4">
        <f t="shared" si="229"/>
        <v>-0.435852185643413</v>
      </c>
      <c r="Z271" t="str">
        <f t="shared" si="216"/>
        <v>0,999906273173755+0,124265285358647i</v>
      </c>
      <c r="AA271" s="4">
        <f t="shared" si="230"/>
        <v>1.00759834074769</v>
      </c>
      <c r="AB271" s="4">
        <f t="shared" si="231"/>
        <v>0.123642988845781</v>
      </c>
      <c r="AC271" s="67" t="str">
        <f t="shared" si="232"/>
        <v>-0,497573645032213-2,43749793144066i</v>
      </c>
      <c r="AD271" s="68">
        <f t="shared" si="233"/>
        <v>7.91618777370196</v>
      </c>
      <c r="AE271" s="31">
        <f t="shared" si="234"/>
        <v>-101.537443366635</v>
      </c>
      <c r="AF271" s="32" t="str">
        <f t="shared" si="235"/>
        <v>326,048966736478</v>
      </c>
      <c r="AG271" s="32" t="str">
        <f t="shared" si="217"/>
        <v>1+17,8837732355311i</v>
      </c>
      <c r="AH271" s="32">
        <f t="shared" si="236"/>
        <v>17.911709721294</v>
      </c>
      <c r="AI271" s="32">
        <f t="shared" si="237"/>
        <v>1.51493788376852</v>
      </c>
      <c r="AJ271" s="32" t="str">
        <f t="shared" si="218"/>
        <v>1+0,333830433729914i</v>
      </c>
      <c r="AK271" s="32">
        <f t="shared" si="238"/>
        <v>1.05424985581422</v>
      </c>
      <c r="AL271" s="32">
        <f t="shared" si="239"/>
        <v>0.3221978780143</v>
      </c>
      <c r="AM271" s="32" t="str">
        <f t="shared" si="219"/>
        <v>1-0,0550936427720027i</v>
      </c>
      <c r="AN271" s="32">
        <f t="shared" si="240"/>
        <v>1.00151650484347</v>
      </c>
      <c r="AO271" s="32">
        <f t="shared" si="241"/>
        <v>-0.055038001983827</v>
      </c>
      <c r="AP271" s="30" t="str">
        <f t="shared" si="242"/>
        <v>6,10092540927232-18,2257238630473i</v>
      </c>
      <c r="AQ271" s="32">
        <f t="shared" si="243"/>
        <v>25.6749489384063</v>
      </c>
      <c r="AR271" s="31">
        <f t="shared" si="244"/>
        <v>-71.4924136126321</v>
      </c>
      <c r="AS271" t="str">
        <f t="shared" si="220"/>
        <v>-0,000100699300699301</v>
      </c>
      <c r="AT271" t="str">
        <f t="shared" si="221"/>
        <v>0,00478390934050456i</v>
      </c>
      <c r="AU271">
        <f t="shared" si="245"/>
        <v>0.00478390934050456</v>
      </c>
      <c r="AV271">
        <f t="shared" si="246"/>
        <v>1.5707963267949</v>
      </c>
      <c r="AW271" t="str">
        <f t="shared" si="222"/>
        <v>1+0,244927383674783i</v>
      </c>
      <c r="AX271">
        <f t="shared" si="247"/>
        <v>1.02955787757356</v>
      </c>
      <c r="AY271">
        <f t="shared" si="248"/>
        <v>0.240198767279762</v>
      </c>
      <c r="AZ271" t="str">
        <f t="shared" si="223"/>
        <v>1+11,7096134280263i</v>
      </c>
      <c r="BA271">
        <f t="shared" si="249"/>
        <v>11.7522358142531</v>
      </c>
      <c r="BB271">
        <f t="shared" si="250"/>
        <v>1.48560311862576</v>
      </c>
      <c r="BC271" s="30" t="str">
        <f t="shared" si="251"/>
        <v>-0,227669130162468+0,0768119882244642i</v>
      </c>
      <c r="BD271" s="32">
        <f t="shared" si="252"/>
        <v>-12.3857350973421</v>
      </c>
      <c r="BE271" s="31">
        <f t="shared" si="253"/>
        <v>161.356413119354</v>
      </c>
      <c r="BF271" s="30" t="str">
        <f t="shared" si="254"/>
        <v>0,300511221363228+0,516723412860892i</v>
      </c>
      <c r="BG271" s="68">
        <f t="shared" si="255"/>
        <v>-4.46954732364015</v>
      </c>
      <c r="BH271" s="31">
        <f t="shared" si="256"/>
        <v>59.8189697527188</v>
      </c>
      <c r="BI271" s="30" t="str">
        <f t="shared" si="263"/>
        <v>0,0109617056355968+4,61805890917667i</v>
      </c>
      <c r="BJ271" s="68">
        <f t="shared" si="257"/>
        <v>13.2892138410642</v>
      </c>
      <c r="BK271" s="31">
        <f t="shared" si="264"/>
        <v>89.8639995067215</v>
      </c>
      <c r="BL271" s="32">
        <f t="shared" si="258"/>
        <v>-4.46954732364015</v>
      </c>
      <c r="BM271" s="31">
        <f t="shared" si="259"/>
        <v>59.8189697527188</v>
      </c>
      <c r="BO271">
        <f t="shared" si="260"/>
        <v>0</v>
      </c>
      <c r="BP271">
        <f t="shared" si="261"/>
        <v>0</v>
      </c>
    </row>
    <row r="272" spans="14:68">
      <c r="N272" s="7">
        <v>54</v>
      </c>
      <c r="O272" s="18">
        <f t="shared" si="262"/>
        <v>3467.36850452532</v>
      </c>
      <c r="P272" s="86" t="str">
        <f t="shared" si="212"/>
        <v>60</v>
      </c>
      <c r="Q272" s="4" t="str">
        <f t="shared" si="213"/>
        <v>1+28,4671952871553i</v>
      </c>
      <c r="R272" s="4">
        <f t="shared" si="224"/>
        <v>28.4847539486834</v>
      </c>
      <c r="S272" s="4">
        <f t="shared" si="225"/>
        <v>1.53568261203859</v>
      </c>
      <c r="T272" s="4" t="str">
        <f t="shared" si="214"/>
        <v>1+0,341606343445864i</v>
      </c>
      <c r="U272" s="4">
        <f t="shared" si="226"/>
        <v>1.05673785485448</v>
      </c>
      <c r="V272" s="4">
        <f t="shared" si="227"/>
        <v>0.329177693151505</v>
      </c>
      <c r="W272" t="str">
        <f t="shared" si="215"/>
        <v>1-0,476571349673359i</v>
      </c>
      <c r="X272" s="4">
        <f t="shared" si="228"/>
        <v>1.10775459887535</v>
      </c>
      <c r="Y272" s="4">
        <f t="shared" si="229"/>
        <v>-0.444729635726669</v>
      </c>
      <c r="Z272" t="str">
        <f t="shared" si="216"/>
        <v>0,999901855964521+0,127159795691271i</v>
      </c>
      <c r="AA272" s="4">
        <f t="shared" si="230"/>
        <v>1.00795502637843</v>
      </c>
      <c r="AB272" s="4">
        <f t="shared" si="231"/>
        <v>0.126493276849126</v>
      </c>
      <c r="AC272" s="67" t="str">
        <f t="shared" si="232"/>
        <v>-0,502610049272801-2,39410358101854i</v>
      </c>
      <c r="AD272" s="68">
        <f t="shared" si="233"/>
        <v>7.77016899936156</v>
      </c>
      <c r="AE272" s="31">
        <f t="shared" si="234"/>
        <v>-101.856301865767</v>
      </c>
      <c r="AF272" s="32" t="str">
        <f t="shared" si="235"/>
        <v>326,048966736478</v>
      </c>
      <c r="AG272" s="32" t="str">
        <f t="shared" si="217"/>
        <v>1+18,300339827457i</v>
      </c>
      <c r="AH272" s="32">
        <f t="shared" si="236"/>
        <v>18.3276413594442</v>
      </c>
      <c r="AI272" s="32">
        <f t="shared" si="237"/>
        <v>1.51620682331815</v>
      </c>
      <c r="AJ272" s="32" t="str">
        <f t="shared" si="218"/>
        <v>1+0,341606343445864i</v>
      </c>
      <c r="AK272" s="32">
        <f t="shared" si="238"/>
        <v>1.05673785485448</v>
      </c>
      <c r="AL272" s="32">
        <f t="shared" si="239"/>
        <v>0.329177693151505</v>
      </c>
      <c r="AM272" s="32" t="str">
        <f t="shared" si="219"/>
        <v>1-0,0563769385678093i</v>
      </c>
      <c r="AN272" s="32">
        <f t="shared" si="240"/>
        <v>1.00158791885799</v>
      </c>
      <c r="AO272" s="32">
        <f t="shared" si="241"/>
        <v>-0.0563173234929558</v>
      </c>
      <c r="AP272" s="30" t="str">
        <f t="shared" si="242"/>
        <v>6,05603533125378-17,82875182568i</v>
      </c>
      <c r="AQ272" s="32">
        <f t="shared" si="243"/>
        <v>25.4966518596941</v>
      </c>
      <c r="AR272" s="31">
        <f t="shared" si="244"/>
        <v>-71.2385042672532</v>
      </c>
      <c r="AS272" t="str">
        <f t="shared" si="220"/>
        <v>-0,000100699300699301</v>
      </c>
      <c r="AT272" t="str">
        <f t="shared" si="221"/>
        <v>0,00489534090384475i</v>
      </c>
      <c r="AU272">
        <f t="shared" si="245"/>
        <v>0.00489534090384475</v>
      </c>
      <c r="AV272">
        <f t="shared" si="246"/>
        <v>1.5707963267949</v>
      </c>
      <c r="AW272" t="str">
        <f t="shared" si="222"/>
        <v>1+0,250632475332064i</v>
      </c>
      <c r="AX272">
        <f t="shared" si="247"/>
        <v>1.0309299868037</v>
      </c>
      <c r="AY272">
        <f t="shared" si="248"/>
        <v>0.245573845383671</v>
      </c>
      <c r="AZ272" t="str">
        <f t="shared" si="223"/>
        <v>1+11,9823653632159i</v>
      </c>
      <c r="BA272">
        <f t="shared" si="249"/>
        <v>12.0240209454906</v>
      </c>
      <c r="BB272">
        <f t="shared" si="250"/>
        <v>1.48753329897113</v>
      </c>
      <c r="BC272" s="30" t="str">
        <f t="shared" si="251"/>
        <v>-0,227063504107754+0,0774799248966553i</v>
      </c>
      <c r="BD272" s="32">
        <f t="shared" si="252"/>
        <v>-12.3987186846282</v>
      </c>
      <c r="BE272" s="31">
        <f t="shared" si="253"/>
        <v>161.159035016935</v>
      </c>
      <c r="BF272" s="30" t="str">
        <f t="shared" si="254"/>
        <v>0,299619364639783+0,504671359433031i</v>
      </c>
      <c r="BG272" s="68">
        <f t="shared" si="255"/>
        <v>-4.62854968526668</v>
      </c>
      <c r="BH272" s="31">
        <f t="shared" si="256"/>
        <v>59.3027331511685</v>
      </c>
      <c r="BI272" s="30" t="str">
        <f t="shared" si="263"/>
        <v>0,00626574913994649+4,51748002604345i</v>
      </c>
      <c r="BJ272" s="68">
        <f t="shared" si="257"/>
        <v>13.0979331750659</v>
      </c>
      <c r="BK272" s="31">
        <f t="shared" si="264"/>
        <v>89.9205307496823</v>
      </c>
      <c r="BL272" s="32">
        <f t="shared" si="258"/>
        <v>-4.62854968526668</v>
      </c>
      <c r="BM272" s="31">
        <f t="shared" si="259"/>
        <v>59.3027331511685</v>
      </c>
      <c r="BO272">
        <f t="shared" si="260"/>
        <v>0</v>
      </c>
      <c r="BP272">
        <f t="shared" si="261"/>
        <v>0</v>
      </c>
    </row>
    <row r="273" spans="14:68">
      <c r="N273" s="7">
        <v>55</v>
      </c>
      <c r="O273" s="18">
        <f t="shared" si="262"/>
        <v>3548.13389233575</v>
      </c>
      <c r="P273" s="86" t="str">
        <f t="shared" si="212"/>
        <v>60</v>
      </c>
      <c r="Q273" s="4" t="str">
        <f t="shared" si="213"/>
        <v>1+29,1302814472337i</v>
      </c>
      <c r="R273" s="4">
        <f t="shared" si="224"/>
        <v>29.1474406628618</v>
      </c>
      <c r="S273" s="4">
        <f t="shared" si="225"/>
        <v>1.53648126316838</v>
      </c>
      <c r="T273" s="4" t="str">
        <f t="shared" si="214"/>
        <v>1+0,349563377366805i</v>
      </c>
      <c r="U273" s="4">
        <f t="shared" si="226"/>
        <v>1.05933684670934</v>
      </c>
      <c r="V273" s="4">
        <f t="shared" si="227"/>
        <v>0.336285793051436</v>
      </c>
      <c r="W273" t="str">
        <f t="shared" si="215"/>
        <v>1-0,487672122442529i</v>
      </c>
      <c r="X273" s="4">
        <f t="shared" si="228"/>
        <v>1.11257543519871</v>
      </c>
      <c r="Y273" s="4">
        <f t="shared" si="229"/>
        <v>-0.453736757961806</v>
      </c>
      <c r="Z273" t="str">
        <f t="shared" si="216"/>
        <v>0,999897230578629+0,13012172783073i</v>
      </c>
      <c r="AA273" s="4">
        <f t="shared" si="230"/>
        <v>1.00832838687229</v>
      </c>
      <c r="AB273" s="4">
        <f t="shared" si="231"/>
        <v>0.12940785821836</v>
      </c>
      <c r="AC273" s="67" t="str">
        <f t="shared" si="232"/>
        <v>-0,507558295873683-2,3519496550973i</v>
      </c>
      <c r="AD273" s="68">
        <f t="shared" si="233"/>
        <v>7.6262475016881</v>
      </c>
      <c r="AE273" s="31">
        <f t="shared" si="234"/>
        <v>-102.17786038132</v>
      </c>
      <c r="AF273" s="32" t="str">
        <f t="shared" si="235"/>
        <v>326,048966736478</v>
      </c>
      <c r="AG273" s="32" t="str">
        <f t="shared" si="217"/>
        <v>1+18,7266095017931i</v>
      </c>
      <c r="AH273" s="32">
        <f t="shared" si="236"/>
        <v>18.7532904694789</v>
      </c>
      <c r="AI273" s="32">
        <f t="shared" si="237"/>
        <v>1.51744704834313</v>
      </c>
      <c r="AJ273" s="32" t="str">
        <f t="shared" si="218"/>
        <v>1+0,349563377366805i</v>
      </c>
      <c r="AK273" s="32">
        <f t="shared" si="238"/>
        <v>1.05933684670934</v>
      </c>
      <c r="AL273" s="32">
        <f t="shared" si="239"/>
        <v>0.336285793051436</v>
      </c>
      <c r="AM273" s="32" t="str">
        <f t="shared" si="219"/>
        <v>1-0,0576901261626818i</v>
      </c>
      <c r="AN273" s="32">
        <f t="shared" si="240"/>
        <v>1.00166269305424</v>
      </c>
      <c r="AO273" s="32">
        <f t="shared" si="241"/>
        <v>-0.0576262531844963</v>
      </c>
      <c r="AP273" s="30" t="str">
        <f t="shared" si="242"/>
        <v>6,01315387909298-17,4410125948458i</v>
      </c>
      <c r="AQ273" s="32">
        <f t="shared" si="243"/>
        <v>25.3192185017381</v>
      </c>
      <c r="AR273" s="31">
        <f t="shared" si="244"/>
        <v>-70.9772959492125</v>
      </c>
      <c r="AS273" t="str">
        <f t="shared" si="220"/>
        <v>-0,000100699300699301</v>
      </c>
      <c r="AT273" t="str">
        <f t="shared" si="221"/>
        <v>0,00500936804172966i</v>
      </c>
      <c r="AU273">
        <f t="shared" si="245"/>
        <v>0.00500936804172966</v>
      </c>
      <c r="AV273">
        <f t="shared" si="246"/>
        <v>1.5707963267949</v>
      </c>
      <c r="AW273" t="str">
        <f t="shared" si="222"/>
        <v>1+0,25647045564528i</v>
      </c>
      <c r="AX273">
        <f t="shared" si="247"/>
        <v>1.03236480694515</v>
      </c>
      <c r="AY273">
        <f t="shared" si="248"/>
        <v>0.251059171350155</v>
      </c>
      <c r="AZ273" t="str">
        <f t="shared" si="223"/>
        <v>1+12,2614705071264i</v>
      </c>
      <c r="BA273">
        <f t="shared" si="249"/>
        <v>12.3021810666699</v>
      </c>
      <c r="BB273">
        <f t="shared" si="250"/>
        <v>1.48942014411918</v>
      </c>
      <c r="BC273" s="30" t="str">
        <f t="shared" si="251"/>
        <v>-0,226432779608994+0,0781755146560785i</v>
      </c>
      <c r="BD273" s="32">
        <f t="shared" si="252"/>
        <v>-12.4121512497898</v>
      </c>
      <c r="BE273" s="31">
        <f t="shared" si="253"/>
        <v>160.95285725338</v>
      </c>
      <c r="BF273" s="30" t="str">
        <f t="shared" si="254"/>
        <v>0,2987927104807+0,492879866906209i</v>
      </c>
      <c r="BG273" s="68">
        <f t="shared" si="255"/>
        <v>-4.78590374810173</v>
      </c>
      <c r="BH273" s="31">
        <f t="shared" si="256"/>
        <v>58.7749968720597</v>
      </c>
      <c r="BI273" s="30" t="str">
        <f t="shared" si="263"/>
        <v>0,00188498866558962+4,4192983602507i</v>
      </c>
      <c r="BJ273" s="68">
        <f t="shared" si="257"/>
        <v>12.9070672519483</v>
      </c>
      <c r="BK273" s="31">
        <f t="shared" si="264"/>
        <v>89.9755613041676</v>
      </c>
      <c r="BL273" s="32">
        <f t="shared" si="258"/>
        <v>-4.78590374810173</v>
      </c>
      <c r="BM273" s="31">
        <f t="shared" si="259"/>
        <v>58.7749968720597</v>
      </c>
      <c r="BO273">
        <f t="shared" si="260"/>
        <v>0</v>
      </c>
      <c r="BP273">
        <f t="shared" si="261"/>
        <v>0</v>
      </c>
    </row>
    <row r="274" spans="14:68">
      <c r="N274" s="7">
        <v>56</v>
      </c>
      <c r="O274" s="18">
        <f t="shared" si="262"/>
        <v>3630.78054770102</v>
      </c>
      <c r="P274" s="86" t="str">
        <f t="shared" si="212"/>
        <v>60</v>
      </c>
      <c r="Q274" s="4" t="str">
        <f t="shared" si="213"/>
        <v>1+29,8088128681204i</v>
      </c>
      <c r="R274" s="4">
        <f t="shared" si="224"/>
        <v>29.8255817144716</v>
      </c>
      <c r="S274" s="4">
        <f t="shared" si="225"/>
        <v>1.53726177709729</v>
      </c>
      <c r="T274" s="4" t="str">
        <f t="shared" si="214"/>
        <v>1+0,357705754417445i</v>
      </c>
      <c r="U274" s="4">
        <f t="shared" si="226"/>
        <v>1.06205150851706</v>
      </c>
      <c r="V274" s="4">
        <f t="shared" si="227"/>
        <v>0.343523072499667</v>
      </c>
      <c r="W274" t="str">
        <f t="shared" si="215"/>
        <v>1-0,499031465426124i</v>
      </c>
      <c r="X274" s="4">
        <f t="shared" si="228"/>
        <v>1.11760118266104</v>
      </c>
      <c r="Y274" s="4">
        <f t="shared" si="229"/>
        <v>-0.462872481201654</v>
      </c>
      <c r="Z274" t="str">
        <f t="shared" si="216"/>
        <v>0,999892387205016+0,13315265223265i</v>
      </c>
      <c r="AA274" s="4">
        <f t="shared" si="230"/>
        <v>1.008719195211</v>
      </c>
      <c r="AB274" s="4">
        <f t="shared" si="231"/>
        <v>0.132388083794528</v>
      </c>
      <c r="AC274" s="67" t="str">
        <f t="shared" si="232"/>
        <v>-0,512428508044308-2,31101330671109i</v>
      </c>
      <c r="AD274" s="68">
        <f t="shared" si="233"/>
        <v>7.48448950259761</v>
      </c>
      <c r="AE274" s="31">
        <f t="shared" si="234"/>
        <v>-102.502107699712</v>
      </c>
      <c r="AF274" s="32" t="str">
        <f t="shared" si="235"/>
        <v>326,048966736478</v>
      </c>
      <c r="AG274" s="32" t="str">
        <f t="shared" si="217"/>
        <v>1+19,1628082723632i</v>
      </c>
      <c r="AH274" s="32">
        <f t="shared" si="236"/>
        <v>19.1888827419251</v>
      </c>
      <c r="AI274" s="32">
        <f t="shared" si="237"/>
        <v>1.51865920115724</v>
      </c>
      <c r="AJ274" s="32" t="str">
        <f t="shared" si="218"/>
        <v>1+0,357705754417445i</v>
      </c>
      <c r="AK274" s="32">
        <f t="shared" si="238"/>
        <v>1.06205150851706</v>
      </c>
      <c r="AL274" s="32">
        <f t="shared" si="239"/>
        <v>0.343523072499667</v>
      </c>
      <c r="AM274" s="32" t="str">
        <f t="shared" si="219"/>
        <v>1-0,0590339018260651i</v>
      </c>
      <c r="AN274" s="32">
        <f t="shared" si="240"/>
        <v>1.00174098526755</v>
      </c>
      <c r="AO274" s="32">
        <f t="shared" si="241"/>
        <v>-0.0589654671194617</v>
      </c>
      <c r="AP274" s="30" t="str">
        <f t="shared" si="242"/>
        <v>5,97219168021243-17,0623152030243i</v>
      </c>
      <c r="AQ274" s="32">
        <f t="shared" si="243"/>
        <v>25.1426832451276</v>
      </c>
      <c r="AR274" s="31">
        <f t="shared" si="244"/>
        <v>-70.708812928384</v>
      </c>
      <c r="AS274" t="str">
        <f t="shared" si="220"/>
        <v>-0,000100699300699301</v>
      </c>
      <c r="AT274" t="str">
        <f t="shared" si="221"/>
        <v>0,00512605121285714i</v>
      </c>
      <c r="AU274">
        <f t="shared" si="245"/>
        <v>0.00512605121285714</v>
      </c>
      <c r="AV274">
        <f t="shared" si="246"/>
        <v>1.5707963267949</v>
      </c>
      <c r="AW274" t="str">
        <f t="shared" si="222"/>
        <v>1+0,262444419988867i</v>
      </c>
      <c r="AX274">
        <f t="shared" si="247"/>
        <v>1.03386511382447</v>
      </c>
      <c r="AY274">
        <f t="shared" si="248"/>
        <v>0.256656332636836</v>
      </c>
      <c r="AZ274" t="str">
        <f t="shared" si="223"/>
        <v>1+12,5470768449997i</v>
      </c>
      <c r="BA274">
        <f t="shared" si="249"/>
        <v>12.5868636822017</v>
      </c>
      <c r="BB274">
        <f t="shared" si="250"/>
        <v>1.49126460073012</v>
      </c>
      <c r="BC274" s="30" t="str">
        <f t="shared" si="251"/>
        <v>-0,22577607466978+0,0788982856036477i</v>
      </c>
      <c r="BD274" s="32">
        <f t="shared" si="252"/>
        <v>-12.4260567676912</v>
      </c>
      <c r="BE274" s="31">
        <f t="shared" si="253"/>
        <v>160.737843113702</v>
      </c>
      <c r="BF274" s="30" t="str">
        <f t="shared" si="254"/>
        <v>0,298029085001857+0,481341782119727i</v>
      </c>
      <c r="BG274" s="68">
        <f t="shared" si="255"/>
        <v>-4.94156726509357</v>
      </c>
      <c r="BH274" s="31">
        <f t="shared" si="256"/>
        <v>58.2357354139894</v>
      </c>
      <c r="BI274" s="30" t="str">
        <f t="shared" si="263"/>
        <v>-0,00219057678620893+4,32345823618247i</v>
      </c>
      <c r="BJ274" s="68">
        <f t="shared" si="257"/>
        <v>12.7166264774364</v>
      </c>
      <c r="BK274" s="31">
        <f t="shared" si="264"/>
        <v>90.0290301853175</v>
      </c>
      <c r="BL274" s="32">
        <f t="shared" si="258"/>
        <v>-4.94156726509357</v>
      </c>
      <c r="BM274" s="31">
        <f t="shared" si="259"/>
        <v>58.2357354139894</v>
      </c>
      <c r="BO274">
        <f t="shared" si="260"/>
        <v>0</v>
      </c>
      <c r="BP274">
        <f t="shared" si="261"/>
        <v>0</v>
      </c>
    </row>
    <row r="275" spans="14:68">
      <c r="N275" s="7">
        <v>57</v>
      </c>
      <c r="O275" s="18">
        <f t="shared" si="262"/>
        <v>3715.35229097172</v>
      </c>
      <c r="P275" s="86" t="str">
        <f t="shared" ref="P275:P338" si="265">COMPLEX(Adc,0)</f>
        <v>60</v>
      </c>
      <c r="Q275" s="4" t="str">
        <f t="shared" ref="Q275:Q338" si="266">IMSUM(COMPLEX(1,0),IMDIV(COMPLEX(0,2*PI()*O275),COMPLEX(wp_lf,0)))</f>
        <v>1+30,5031493161559i</v>
      </c>
      <c r="R275" s="4">
        <f t="shared" si="224"/>
        <v>30.5195366643025</v>
      </c>
      <c r="S275" s="4">
        <f t="shared" si="225"/>
        <v>1.53802456385804</v>
      </c>
      <c r="T275" s="4" t="str">
        <f t="shared" ref="T275:T338" si="267">IMSUM(COMPLEX(1,0),IMDIV(COMPLEX(0,2*PI()*O275),COMPLEX(wz_esr,0)))</f>
        <v>1+0,366037791793871i</v>
      </c>
      <c r="U275" s="4">
        <f t="shared" si="226"/>
        <v>1.06488669116547</v>
      </c>
      <c r="V275" s="4">
        <f t="shared" si="227"/>
        <v>0.350890335243878</v>
      </c>
      <c r="W275" t="str">
        <f t="shared" ref="W275:W338" si="268">IMSUB(COMPLEX(1,0),IMDIV(COMPLEX(0,2*PI()*O275),COMPLEX(wz_rhp,0)))</f>
        <v>1-0,510655401498145i</v>
      </c>
      <c r="X275" s="4">
        <f t="shared" si="228"/>
        <v>1.12283967648068</v>
      </c>
      <c r="Y275" s="4">
        <f t="shared" si="229"/>
        <v>-0.472135548525023</v>
      </c>
      <c r="Z275" t="str">
        <f t="shared" ref="Z275:Z338" si="269">IMSUM(COMPLEX(1,0),IMDIV(COMPLEX(0,2*PI()*O275),COMPLEX(Q*(wsl/2),0)),IMDIV(IMPOWER(COMPLEX(0,2*PI()*O275),2),IMPOWER(COMPLEX(wsl/2,0),2)))</f>
        <v>0,999887315570236+0,136254175933266i</v>
      </c>
      <c r="AA275" s="4">
        <f t="shared" si="230"/>
        <v>1.00912825958721</v>
      </c>
      <c r="AB275" s="4">
        <f t="shared" si="231"/>
        <v>0.135435325786641</v>
      </c>
      <c r="AC275" s="67" t="str">
        <f t="shared" si="232"/>
        <v>-0,517230618056498-2,27127220204414i</v>
      </c>
      <c r="AD275" s="68">
        <f t="shared" si="233"/>
        <v>7.34496191459036</v>
      </c>
      <c r="AE275" s="31">
        <f t="shared" si="234"/>
        <v>-102.829027868242</v>
      </c>
      <c r="AF275" s="32" t="str">
        <f t="shared" si="235"/>
        <v>326,048966736478</v>
      </c>
      <c r="AG275" s="32" t="str">
        <f t="shared" ref="AG275:AG338" si="270">IMSUM(COMPLEX(1,0),IMDIV(COMPLEX(0,2*PI()*O275),COMPLEX(wp_lf_DCM,0)))</f>
        <v>1+19,6091674175288i</v>
      </c>
      <c r="AH275" s="32">
        <f t="shared" si="236"/>
        <v>19.6346491389246</v>
      </c>
      <c r="AI275" s="32">
        <f t="shared" si="237"/>
        <v>1.51984391020359</v>
      </c>
      <c r="AJ275" s="32" t="str">
        <f t="shared" ref="AJ275:AJ338" si="271">IMSUM(COMPLEX(1,0),IMDIV(COMPLEX(0,2*PI()*O275),COMPLEX(wz1_dcm,0)))</f>
        <v>1+0,366037791793871i</v>
      </c>
      <c r="AK275" s="32">
        <f t="shared" si="238"/>
        <v>1.06488669116547</v>
      </c>
      <c r="AL275" s="32">
        <f t="shared" si="239"/>
        <v>0.350890335243878</v>
      </c>
      <c r="AM275" s="32" t="str">
        <f t="shared" ref="AM275:AM338" si="272">IMSUB(COMPLEX(1,0),IMDIV(COMPLEX(0,2*PI()*O275),COMPLEX(wz2_dcm,0)))</f>
        <v>1-0,0604089780456021i</v>
      </c>
      <c r="AN275" s="32">
        <f t="shared" si="240"/>
        <v>1.00182296072136</v>
      </c>
      <c r="AO275" s="32">
        <f t="shared" si="241"/>
        <v>-0.0603356561409627</v>
      </c>
      <c r="AP275" s="30" t="str">
        <f t="shared" si="242"/>
        <v>5,9330632943474-16,6924725101344i</v>
      </c>
      <c r="AQ275" s="32">
        <f t="shared" si="243"/>
        <v>24.9670812706665</v>
      </c>
      <c r="AR275" s="31">
        <f t="shared" si="244"/>
        <v>-70.4330847429507</v>
      </c>
      <c r="AS275" t="str">
        <f t="shared" ref="AS275:AS338" si="273">COMPLEX(Adc_ea,0)</f>
        <v>-0,000100699300699301</v>
      </c>
      <c r="AT275" t="str">
        <f t="shared" ref="AT275:AT338" si="274">COMPLEX(0,2*PI()*O275*wp0_ea)</f>
        <v>0,00524545228418895i</v>
      </c>
      <c r="AU275">
        <f t="shared" si="245"/>
        <v>0.00524545228418895</v>
      </c>
      <c r="AV275">
        <f t="shared" si="246"/>
        <v>1.5707963267949</v>
      </c>
      <c r="AW275" t="str">
        <f t="shared" ref="AW275:AW338" si="275">IMSUM(COMPLEX(1,0),IMDIV(COMPLEX(0,2*PI()*O275),COMPLEX(wp1_ea,0)))</f>
        <v>1+0,268557535837794i</v>
      </c>
      <c r="AX275">
        <f t="shared" si="247"/>
        <v>1.03543379800703</v>
      </c>
      <c r="AY275">
        <f t="shared" si="248"/>
        <v>0.262366893554157</v>
      </c>
      <c r="AZ275" t="str">
        <f t="shared" ref="AZ275:AZ338" si="276">IMSUM(COMPLEX(1,0),IMDIV(COMPLEX(0,2*PI()*O275),COMPLEX(wz_ea,0)))</f>
        <v>1+12,8393358090962i</v>
      </c>
      <c r="BA275">
        <f t="shared" si="249"/>
        <v>12.8782197534729</v>
      </c>
      <c r="BB275">
        <f t="shared" si="250"/>
        <v>1.49306759653226</v>
      </c>
      <c r="BC275" s="30" t="str">
        <f t="shared" si="251"/>
        <v>-0,225092490508871+0,0796477332037798i</v>
      </c>
      <c r="BD275" s="32">
        <f t="shared" si="252"/>
        <v>-12.4404598279774</v>
      </c>
      <c r="BE275" s="31">
        <f t="shared" si="253"/>
        <v>160.513956124429</v>
      </c>
      <c r="BF275" s="30" t="str">
        <f t="shared" si="254"/>
        <v>0,297326410367353+0,470050070309893i</v>
      </c>
      <c r="BG275" s="68">
        <f t="shared" si="255"/>
        <v>-5.09549791338702</v>
      </c>
      <c r="BH275" s="31">
        <f t="shared" si="256"/>
        <v>57.6849282561867</v>
      </c>
      <c r="BI275" s="30" t="str">
        <f t="shared" si="263"/>
        <v>-0,00597039627280993+4,22990525240634i</v>
      </c>
      <c r="BJ275" s="68">
        <f t="shared" si="257"/>
        <v>12.5266214426891</v>
      </c>
      <c r="BK275" s="31">
        <f t="shared" si="264"/>
        <v>90.0808713814781</v>
      </c>
      <c r="BL275" s="32">
        <f t="shared" si="258"/>
        <v>-5.09549791338702</v>
      </c>
      <c r="BM275" s="31">
        <f t="shared" si="259"/>
        <v>57.6849282561867</v>
      </c>
      <c r="BO275">
        <f t="shared" si="260"/>
        <v>0</v>
      </c>
      <c r="BP275">
        <f t="shared" si="261"/>
        <v>0</v>
      </c>
    </row>
    <row r="276" spans="14:68">
      <c r="N276" s="7">
        <v>58</v>
      </c>
      <c r="O276" s="18">
        <f t="shared" si="262"/>
        <v>3801.89396320562</v>
      </c>
      <c r="P276" s="86" t="str">
        <f t="shared" si="265"/>
        <v>60</v>
      </c>
      <c r="Q276" s="4" t="str">
        <f t="shared" si="266"/>
        <v>1+31,2136589377159i</v>
      </c>
      <c r="R276" s="4">
        <f t="shared" ref="R276:R339" si="277">IMABS(Q276)</f>
        <v>31.2296734577877</v>
      </c>
      <c r="S276" s="4">
        <f t="shared" ref="S276:S339" si="278">IMARGUMENT(Q276)</f>
        <v>1.53877002433766</v>
      </c>
      <c r="T276" s="4" t="str">
        <f t="shared" si="267"/>
        <v>1+0,374563907252591i</v>
      </c>
      <c r="U276" s="4">
        <f t="shared" ref="U276:U339" si="279">IMABS(T276)</f>
        <v>1.06784742384684</v>
      </c>
      <c r="V276" s="4">
        <f t="shared" ref="V276:V339" si="280">IMARGUMENT(T276)</f>
        <v>0.358388287577729</v>
      </c>
      <c r="W276" t="str">
        <f t="shared" si="268"/>
        <v>1-0,522550093823369i</v>
      </c>
      <c r="X276" s="4">
        <f t="shared" ref="X276:X339" si="281">IMABS(W276)</f>
        <v>1.12829898544438</v>
      </c>
      <c r="Y276" s="4">
        <f t="shared" ref="Y276:Y339" si="282">IMARGUMENT(W276)</f>
        <v>-0.481524511912328</v>
      </c>
      <c r="Z276" t="str">
        <f t="shared" si="269"/>
        <v>0,999882004916674+0,139427943401501i</v>
      </c>
      <c r="AA276" s="4">
        <f t="shared" ref="AA276:AA339" si="283">IMABS(Z276)</f>
        <v>1.00955642494977</v>
      </c>
      <c r="AB276" s="4">
        <f t="shared" ref="AB276:AB339" si="284">IMARGUMENT(Z276)</f>
        <v>0.138550977594347</v>
      </c>
      <c r="AC276" s="67" t="str">
        <f t="shared" ref="AC276:AC339" si="285">(IMDIV(IMPRODUCT(P276,T276,W276),IMPRODUCT(Q276,Z276)))</f>
        <v>-0,521974385182234-2,23270450648089i</v>
      </c>
      <c r="AD276" s="68">
        <f t="shared" ref="AD276:AD339" si="286">20*LOG(IMABS(AC276))</f>
        <v>7.20773224078723</v>
      </c>
      <c r="AE276" s="31">
        <f t="shared" ref="AE276:AE339" si="287">(180/PI())*IMARGUMENT(AC276)</f>
        <v>-103.158600258907</v>
      </c>
      <c r="AF276" s="32" t="str">
        <f t="shared" ref="AF276:AF339" si="288">COMPLEX($B$68,0)</f>
        <v>326,048966736478</v>
      </c>
      <c r="AG276" s="32" t="str">
        <f t="shared" si="270"/>
        <v>1+20,0659236028174i</v>
      </c>
      <c r="AH276" s="32">
        <f t="shared" ref="AH276:AH339" si="289">IMABS(AG276)</f>
        <v>20.0908260167198</v>
      </c>
      <c r="AI276" s="32">
        <f t="shared" ref="AI276:AI339" si="290">IMARGUMENT(AG276)</f>
        <v>1.5210017903208</v>
      </c>
      <c r="AJ276" s="32" t="str">
        <f t="shared" si="271"/>
        <v>1+0,374563907252591i</v>
      </c>
      <c r="AK276" s="32">
        <f t="shared" ref="AK276:AK339" si="291">IMABS(AJ276)</f>
        <v>1.06784742384684</v>
      </c>
      <c r="AL276" s="32">
        <f t="shared" ref="AL276:AL339" si="292">IMARGUMENT(AJ276)</f>
        <v>0.358388287577729</v>
      </c>
      <c r="AM276" s="32" t="str">
        <f t="shared" si="272"/>
        <v>1-0,0618160839049068i</v>
      </c>
      <c r="AN276" s="32">
        <f t="shared" ref="AN276:AN339" si="293">IMABS(AM276)</f>
        <v>1.00190879237051</v>
      </c>
      <c r="AO276" s="32">
        <f t="shared" ref="AO276:AO339" si="294">IMARGUMENT(AM276)</f>
        <v>-0.0617375261503869</v>
      </c>
      <c r="AP276" s="30" t="str">
        <f t="shared" ref="AP276:AP339" si="295">(IMDIV(IMPRODUCT(AF276,AJ276,AM276),IMPRODUCT(AG276)))</f>
        <v>5,89568704442024-16,3313011678618i</v>
      </c>
      <c r="AQ276" s="32">
        <f t="shared" ref="AQ276:AQ339" si="296">20*LOG(IMABS(AP276))</f>
        <v>24.792448551808</v>
      </c>
      <c r="AR276" s="31">
        <f t="shared" ref="AR276:AR339" si="297">(180/PI())*IMARGUMENT(AP276)</f>
        <v>-70.1501465980953</v>
      </c>
      <c r="AS276" t="str">
        <f t="shared" si="273"/>
        <v>-0,000100699300699301</v>
      </c>
      <c r="AT276" t="str">
        <f t="shared" si="274"/>
        <v>0,00536763456375365i</v>
      </c>
      <c r="AU276">
        <f t="shared" ref="AU276:AU339" si="298">IMABS(AT276)</f>
        <v>0.00536763456375365</v>
      </c>
      <c r="AV276">
        <f t="shared" ref="AV276:AV339" si="299">IMARGUMENT(AT276)</f>
        <v>1.5707963267949</v>
      </c>
      <c r="AW276" t="str">
        <f t="shared" si="275"/>
        <v>1+0,274813044447003i</v>
      </c>
      <c r="AX276">
        <f t="shared" ref="AX276:AX339" si="300">IMABS(AW276)</f>
        <v>1.03707386882431</v>
      </c>
      <c r="AY276">
        <f t="shared" ref="AY276:AY339" si="301">IMARGUMENT(AW276)</f>
        <v>0.268192391510065</v>
      </c>
      <c r="AZ276" t="str">
        <f t="shared" si="276"/>
        <v>1+13,1384023589876i</v>
      </c>
      <c r="BA276">
        <f t="shared" ref="BA276:BA339" si="302">IMABS(AZ276)</f>
        <v>13.1764037789774</v>
      </c>
      <c r="BB276">
        <f t="shared" ref="BB276:BB339" si="303">IMARGUMENT(AZ276)</f>
        <v>1.49483004058231</v>
      </c>
      <c r="BC276" s="30" t="str">
        <f t="shared" ref="BC276:BC339" si="304">IMPRODUCT(AS276,IMDIV(AZ276,IMPRODUCT(AT276,AW276)))</f>
        <v>-0,224381112606855+0,080423318007937i</v>
      </c>
      <c r="BD276" s="32">
        <f t="shared" ref="BD276:BD339" si="305">20*LOG(IMABS(BC276))</f>
        <v>-12.4553856538206</v>
      </c>
      <c r="BE276" s="31">
        <f t="shared" ref="BE276:BE339" si="306">(180/PI())*IMARGUMENT(BC276)</f>
        <v>160.281160283689</v>
      </c>
      <c r="BF276" s="30" t="str">
        <f t="shared" ref="BF276:BF339" si="307">IMPRODUCT(AC276,BC276)</f>
        <v>0,296682697841935+0,458997809315013i</v>
      </c>
      <c r="BG276" s="68">
        <f t="shared" ref="BG276:BG339" si="308">20*LOG(IMABS(BF276))</f>
        <v>-5.24765341303342</v>
      </c>
      <c r="BH276" s="31">
        <f t="shared" ref="BH276:BH339" si="309">(180/PI())*IMARGUMENT(BF276)</f>
        <v>57.1225600247818</v>
      </c>
      <c r="BI276" s="30" t="str">
        <f t="shared" si="263"/>
        <v>-0,00946339130249152+4,13858624041114i</v>
      </c>
      <c r="BJ276" s="68">
        <f t="shared" ref="BJ276:BJ339" si="310">20*LOG(IMABS(BI276))</f>
        <v>12.3370628979874</v>
      </c>
      <c r="BK276" s="31">
        <f t="shared" si="264"/>
        <v>90.1310136855937</v>
      </c>
      <c r="BL276" s="32">
        <f t="shared" ref="BL276:BL339" si="311">IF($B$31=0,BJ276,BG276)</f>
        <v>-5.24765341303342</v>
      </c>
      <c r="BM276" s="31">
        <f t="shared" ref="BM276:BM339" si="312">IF($B$31=0,BK276,BH276)</f>
        <v>57.1225600247818</v>
      </c>
      <c r="BO276">
        <f t="shared" ref="BO276:BO339" si="313">SUM((BL277&lt;0)*(BL276&gt;0))*O276</f>
        <v>0</v>
      </c>
      <c r="BP276">
        <f t="shared" ref="BP276:BP339" si="314">IF(BO276&gt;0,BM276,0)</f>
        <v>0</v>
      </c>
    </row>
    <row r="277" spans="14:68">
      <c r="N277" s="7">
        <v>59</v>
      </c>
      <c r="O277" s="18">
        <f t="shared" si="262"/>
        <v>3890.45144994281</v>
      </c>
      <c r="P277" s="86" t="str">
        <f t="shared" si="265"/>
        <v>60</v>
      </c>
      <c r="Q277" s="4" t="str">
        <f t="shared" si="266"/>
        <v>1+31,9407184544062i</v>
      </c>
      <c r="R277" s="4">
        <f t="shared" si="277"/>
        <v>31.9563686200989</v>
      </c>
      <c r="S277" s="4">
        <f t="shared" si="278"/>
        <v>1.53949855047317</v>
      </c>
      <c r="T277" s="4" t="str">
        <f t="shared" si="267"/>
        <v>1+0,383288621452875i</v>
      </c>
      <c r="U277" s="4">
        <f t="shared" si="279"/>
        <v>1.07093891858278</v>
      </c>
      <c r="V277" s="4">
        <f t="shared" si="280"/>
        <v>0.36601753178954</v>
      </c>
      <c r="W277" t="str">
        <f t="shared" si="268"/>
        <v>1-0,534721849125105i</v>
      </c>
      <c r="X277" s="4">
        <f t="shared" si="281"/>
        <v>1.13398741436216</v>
      </c>
      <c r="Y277" s="4">
        <f t="shared" si="282"/>
        <v>-0.491037727337172</v>
      </c>
      <c r="Z277" t="str">
        <f t="shared" si="269"/>
        <v>0,99987644397972+0,142675637410874i</v>
      </c>
      <c r="AA277" s="4">
        <f t="shared" si="283"/>
        <v>1.01000457461149</v>
      </c>
      <c r="AB277" s="4">
        <f t="shared" si="284"/>
        <v>0.141736453583687</v>
      </c>
      <c r="AC277" s="67" t="str">
        <f t="shared" si="285"/>
        <v>-0,526669413057083-2,1952888703899i</v>
      </c>
      <c r="AD277" s="68">
        <f t="shared" si="286"/>
        <v>7.07286846638336</v>
      </c>
      <c r="AE277" s="31">
        <f t="shared" si="287"/>
        <v>-103.490799660897</v>
      </c>
      <c r="AF277" s="32" t="str">
        <f t="shared" si="288"/>
        <v>326,048966736478</v>
      </c>
      <c r="AG277" s="32" t="str">
        <f t="shared" si="270"/>
        <v>1+20,533319006404i</v>
      </c>
      <c r="AH277" s="32">
        <f t="shared" si="289"/>
        <v>20.5576552509947</v>
      </c>
      <c r="AI277" s="32">
        <f t="shared" si="290"/>
        <v>1.52213344300636</v>
      </c>
      <c r="AJ277" s="32" t="str">
        <f t="shared" si="271"/>
        <v>1+0,383288621452875i</v>
      </c>
      <c r="AK277" s="32">
        <f t="shared" si="291"/>
        <v>1.07093891858278</v>
      </c>
      <c r="AL277" s="32">
        <f t="shared" si="292"/>
        <v>0.36601753178954</v>
      </c>
      <c r="AM277" s="32" t="str">
        <f t="shared" si="272"/>
        <v>1-0,0632559654701303i</v>
      </c>
      <c r="AN277" s="32">
        <f t="shared" si="293"/>
        <v>1.00199866126036</v>
      </c>
      <c r="AO277" s="32">
        <f t="shared" si="294"/>
        <v>-0.0631717983852403</v>
      </c>
      <c r="AP277" s="30" t="str">
        <f t="shared" si="295"/>
        <v>5,85998485434519-15,9786215818608i</v>
      </c>
      <c r="AQ277" s="32">
        <f t="shared" si="296"/>
        <v>24.6188218437698</v>
      </c>
      <c r="AR277" s="31">
        <f t="shared" si="297"/>
        <v>-69.8600397723708</v>
      </c>
      <c r="AS277" t="str">
        <f t="shared" si="273"/>
        <v>-0,000100699300699301</v>
      </c>
      <c r="AT277" t="str">
        <f t="shared" si="274"/>
        <v>0,00549266283421307i</v>
      </c>
      <c r="AU277">
        <f t="shared" si="298"/>
        <v>0.00549266283421307</v>
      </c>
      <c r="AV277">
        <f t="shared" si="299"/>
        <v>1.5707963267949</v>
      </c>
      <c r="AW277" t="str">
        <f t="shared" si="275"/>
        <v>1+0,281214262569958i</v>
      </c>
      <c r="AX277">
        <f t="shared" si="300"/>
        <v>1.03878845848073</v>
      </c>
      <c r="AY277">
        <f t="shared" si="301"/>
        <v>0.274134333047972</v>
      </c>
      <c r="AZ277" t="str">
        <f t="shared" si="276"/>
        <v>1+13,4444350637169i</v>
      </c>
      <c r="BA277">
        <f t="shared" si="302"/>
        <v>13.4815738763136</v>
      </c>
      <c r="BB277">
        <f t="shared" si="303"/>
        <v>1.4965528235308</v>
      </c>
      <c r="BC277" s="30" t="str">
        <f t="shared" si="304"/>
        <v>-0,223641011910988+0,0812244633448296i</v>
      </c>
      <c r="BD277" s="32">
        <f t="shared" si="305"/>
        <v>-12.470860119524</v>
      </c>
      <c r="BE277" s="31">
        <f t="shared" si="306"/>
        <v>160.039420303419</v>
      </c>
      <c r="BF277" s="30" t="str">
        <f t="shared" si="307"/>
        <v>0,296096040862949+0,448178183975229i</v>
      </c>
      <c r="BG277" s="68">
        <f t="shared" si="308"/>
        <v>-5.39799165314067</v>
      </c>
      <c r="BH277" s="31">
        <f t="shared" si="309"/>
        <v>56.5486206425216</v>
      </c>
      <c r="BI277" s="30" t="str">
        <f t="shared" si="263"/>
        <v>-0,0126779796320662+4,04944922451312i</v>
      </c>
      <c r="BJ277" s="68">
        <f t="shared" si="310"/>
        <v>12.1479617242457</v>
      </c>
      <c r="BK277" s="31">
        <f t="shared" si="264"/>
        <v>90.1793805310483</v>
      </c>
      <c r="BL277" s="32">
        <f t="shared" si="311"/>
        <v>-5.39799165314067</v>
      </c>
      <c r="BM277" s="31">
        <f t="shared" si="312"/>
        <v>56.5486206425216</v>
      </c>
      <c r="BO277">
        <f t="shared" si="313"/>
        <v>0</v>
      </c>
      <c r="BP277">
        <f t="shared" si="314"/>
        <v>0</v>
      </c>
    </row>
    <row r="278" spans="14:68">
      <c r="N278" s="7">
        <v>60</v>
      </c>
      <c r="O278" s="18">
        <f t="shared" si="262"/>
        <v>3981.07170553498</v>
      </c>
      <c r="P278" s="86" t="str">
        <f t="shared" si="265"/>
        <v>60</v>
      </c>
      <c r="Q278" s="4" t="str">
        <f t="shared" si="266"/>
        <v>1+32,6847133628065i</v>
      </c>
      <c r="R278" s="4">
        <f t="shared" si="277"/>
        <v>32.7000074557915</v>
      </c>
      <c r="S278" s="4">
        <f t="shared" si="278"/>
        <v>1.54021052544369</v>
      </c>
      <c r="T278" s="4" t="str">
        <f t="shared" si="267"/>
        <v>1+0,392216560353678i</v>
      </c>
      <c r="U278" s="4">
        <f t="shared" si="279"/>
        <v>1.07416657470602</v>
      </c>
      <c r="V278" s="4">
        <f t="shared" si="280"/>
        <v>0.373778559495469</v>
      </c>
      <c r="W278" t="str">
        <f t="shared" si="268"/>
        <v>1-0,547177121029127i</v>
      </c>
      <c r="X278" s="4">
        <f t="shared" si="281"/>
        <v>1.13991350627042</v>
      </c>
      <c r="Y278" s="4">
        <f t="shared" si="282"/>
        <v>-0.500673350328877</v>
      </c>
      <c r="Z278" t="str">
        <f t="shared" si="269"/>
        <v>0,999870620963881+0,145998979931737i</v>
      </c>
      <c r="AA278" s="4">
        <f t="shared" si="283"/>
        <v>1.01047363192109</v>
      </c>
      <c r="AB278" s="4">
        <f t="shared" si="284"/>
        <v>0.144993188812427</v>
      </c>
      <c r="AC278" s="67" t="str">
        <f t="shared" si="285"/>
        <v>-0,531325166482917-2,15900441463255i</v>
      </c>
      <c r="AD278" s="68">
        <f t="shared" si="286"/>
        <v>6.94043894144439</v>
      </c>
      <c r="AE278" s="31">
        <f t="shared" si="287"/>
        <v>-103.825596403596</v>
      </c>
      <c r="AF278" s="32" t="str">
        <f t="shared" si="288"/>
        <v>326,048966736478</v>
      </c>
      <c r="AG278" s="32" t="str">
        <f t="shared" si="270"/>
        <v>1+21,0116014475185i</v>
      </c>
      <c r="AH278" s="32">
        <f t="shared" si="289"/>
        <v>21.0353843651444</v>
      </c>
      <c r="AI278" s="32">
        <f t="shared" si="290"/>
        <v>1.52323945667701</v>
      </c>
      <c r="AJ278" s="32" t="str">
        <f t="shared" si="271"/>
        <v>1+0,392216560353678i</v>
      </c>
      <c r="AK278" s="32">
        <f t="shared" si="291"/>
        <v>1.07416657470602</v>
      </c>
      <c r="AL278" s="32">
        <f t="shared" si="292"/>
        <v>0.373778559495469</v>
      </c>
      <c r="AM278" s="32" t="str">
        <f t="shared" si="272"/>
        <v>1-0,0647293861855378i</v>
      </c>
      <c r="AN278" s="32">
        <f t="shared" si="293"/>
        <v>1.00209275690225</v>
      </c>
      <c r="AO278" s="32">
        <f t="shared" si="294"/>
        <v>-0.0646392096983754</v>
      </c>
      <c r="AP278" s="30" t="str">
        <f t="shared" si="295"/>
        <v>5,82588209350894-15,6342578720736i</v>
      </c>
      <c r="AQ278" s="32">
        <f t="shared" si="296"/>
        <v>24.4462386691315</v>
      </c>
      <c r="AR278" s="31">
        <f t="shared" si="297"/>
        <v>-69.5628120306014</v>
      </c>
      <c r="AS278" t="str">
        <f t="shared" si="273"/>
        <v>-0,000100699300699301</v>
      </c>
      <c r="AT278" t="str">
        <f t="shared" si="274"/>
        <v>0,00562060338721118i</v>
      </c>
      <c r="AU278">
        <f t="shared" si="298"/>
        <v>0.00562060338721118</v>
      </c>
      <c r="AV278">
        <f t="shared" si="299"/>
        <v>1.5707963267949</v>
      </c>
      <c r="AW278" t="str">
        <f t="shared" si="275"/>
        <v>1+0,287764584217238i</v>
      </c>
      <c r="AX278">
        <f t="shared" si="300"/>
        <v>1.04058082623587</v>
      </c>
      <c r="AY278">
        <f t="shared" si="301"/>
        <v>0.280194189674916</v>
      </c>
      <c r="AZ278" t="str">
        <f t="shared" si="276"/>
        <v>1+13,7575961858752i</v>
      </c>
      <c r="BA278">
        <f t="shared" si="302"/>
        <v>13.7938918660981</v>
      </c>
      <c r="BB278">
        <f t="shared" si="303"/>
        <v>1.49823681789166</v>
      </c>
      <c r="BC278" s="30" t="str">
        <f t="shared" si="304"/>
        <v>-0,222871246208499+0,0820505529854278i</v>
      </c>
      <c r="BD278" s="32">
        <f t="shared" si="305"/>
        <v>-12.4869097668513</v>
      </c>
      <c r="BE278" s="31">
        <f t="shared" si="306"/>
        <v>159.788701863842</v>
      </c>
      <c r="BF278" s="30" t="str">
        <f t="shared" si="307"/>
        <v>0,295564608114567+0,437584480733809i</v>
      </c>
      <c r="BG278" s="68">
        <f t="shared" si="308"/>
        <v>-5.54647082540695</v>
      </c>
      <c r="BH278" s="31">
        <f t="shared" si="309"/>
        <v>55.9631054602465</v>
      </c>
      <c r="BI278" s="30" t="str">
        <f t="shared" si="263"/>
        <v>-0,0156220985237001+3,96244338289439i</v>
      </c>
      <c r="BJ278" s="68">
        <f t="shared" si="310"/>
        <v>11.9593289022801</v>
      </c>
      <c r="BK278" s="31">
        <f t="shared" si="264"/>
        <v>90.2258898332408</v>
      </c>
      <c r="BL278" s="32">
        <f t="shared" si="311"/>
        <v>-5.54647082540695</v>
      </c>
      <c r="BM278" s="31">
        <f t="shared" si="312"/>
        <v>55.9631054602465</v>
      </c>
      <c r="BO278">
        <f t="shared" si="313"/>
        <v>0</v>
      </c>
      <c r="BP278">
        <f t="shared" si="314"/>
        <v>0</v>
      </c>
    </row>
    <row r="279" spans="14:68">
      <c r="N279" s="7">
        <v>61</v>
      </c>
      <c r="O279" s="18">
        <f t="shared" si="262"/>
        <v>4073.80277804113</v>
      </c>
      <c r="P279" s="86" t="str">
        <f t="shared" si="265"/>
        <v>60</v>
      </c>
      <c r="Q279" s="4" t="str">
        <f t="shared" si="266"/>
        <v>1+33,4460381388649i</v>
      </c>
      <c r="R279" s="4">
        <f t="shared" si="277"/>
        <v>33.460984253103</v>
      </c>
      <c r="S279" s="4">
        <f t="shared" si="278"/>
        <v>1.54090632385887</v>
      </c>
      <c r="T279" s="4" t="str">
        <f t="shared" si="267"/>
        <v>1+0,401352457666379i</v>
      </c>
      <c r="U279" s="4">
        <f t="shared" si="279"/>
        <v>1.0775359832854</v>
      </c>
      <c r="V279" s="4">
        <f t="shared" si="280"/>
        <v>0.381671744879521</v>
      </c>
      <c r="W279" t="str">
        <f t="shared" si="268"/>
        <v>1-0,559922513485462i</v>
      </c>
      <c r="X279" s="4">
        <f t="shared" si="281"/>
        <v>1.14608604437358</v>
      </c>
      <c r="Y279" s="4">
        <f t="shared" si="282"/>
        <v>-0.510429332061293</v>
      </c>
      <c r="Z279" t="str">
        <f t="shared" si="269"/>
        <v>0,99986452351776+0,149399733044284i</v>
      </c>
      <c r="AA279" s="4">
        <f t="shared" si="283"/>
        <v>1.01096456200161</v>
      </c>
      <c r="AB279" s="4">
        <f t="shared" si="284"/>
        <v>0.148322638701236</v>
      </c>
      <c r="AC279" s="67" t="str">
        <f t="shared" si="285"/>
        <v>-0,53595098768082-2,12383071578731i</v>
      </c>
      <c r="AD279" s="68">
        <f t="shared" si="286"/>
        <v>6.81051225502666</v>
      </c>
      <c r="AE279" s="31">
        <f t="shared" si="287"/>
        <v>-104.16295651176</v>
      </c>
      <c r="AF279" s="32" t="str">
        <f t="shared" si="288"/>
        <v>326,048966736478</v>
      </c>
      <c r="AG279" s="32" t="str">
        <f t="shared" si="270"/>
        <v>1+21,5010245178417i</v>
      </c>
      <c r="AH279" s="32">
        <f t="shared" si="289"/>
        <v>21.5242666615341</v>
      </c>
      <c r="AI279" s="32">
        <f t="shared" si="290"/>
        <v>1.52432040692609</v>
      </c>
      <c r="AJ279" s="32" t="str">
        <f t="shared" si="271"/>
        <v>1+0,401352457666379i</v>
      </c>
      <c r="AK279" s="32">
        <f t="shared" si="291"/>
        <v>1.0775359832854</v>
      </c>
      <c r="AL279" s="32">
        <f t="shared" si="292"/>
        <v>0.381671744879521</v>
      </c>
      <c r="AM279" s="32" t="str">
        <f t="shared" si="272"/>
        <v>1-0,0662371272782953i</v>
      </c>
      <c r="AN279" s="32">
        <f t="shared" si="293"/>
        <v>1.00219127766614</v>
      </c>
      <c r="AO279" s="32">
        <f t="shared" si="294"/>
        <v>-0.0661405128382767</v>
      </c>
      <c r="AP279" s="30" t="str">
        <f t="shared" si="295"/>
        <v>5,79330742768192-15,2980378313954i</v>
      </c>
      <c r="AQ279" s="32">
        <f t="shared" si="296"/>
        <v>24.2747372997258</v>
      </c>
      <c r="AR279" s="31">
        <f t="shared" si="297"/>
        <v>-69.258518042003</v>
      </c>
      <c r="AS279" t="str">
        <f t="shared" si="273"/>
        <v>-0,000100699300699301</v>
      </c>
      <c r="AT279" t="str">
        <f t="shared" si="274"/>
        <v>0,00575152405852267i</v>
      </c>
      <c r="AU279">
        <f t="shared" si="298"/>
        <v>0.00575152405852267</v>
      </c>
      <c r="AV279">
        <f t="shared" si="299"/>
        <v>1.5707963267949</v>
      </c>
      <c r="AW279" t="str">
        <f t="shared" si="275"/>
        <v>1+0,294467482456084i</v>
      </c>
      <c r="AX279">
        <f t="shared" si="300"/>
        <v>1.04245436265768</v>
      </c>
      <c r="AY279">
        <f t="shared" si="301"/>
        <v>0.286373393477684</v>
      </c>
      <c r="AZ279" t="str">
        <f t="shared" si="276"/>
        <v>1+14,0780517676345i</v>
      </c>
      <c r="BA279">
        <f t="shared" si="302"/>
        <v>14.1135233578365</v>
      </c>
      <c r="BB279">
        <f t="shared" si="303"/>
        <v>1.49988287831533</v>
      </c>
      <c r="BC279" s="30" t="str">
        <f t="shared" si="304"/>
        <v>-0,222070861678462+0,0829009287921065i</v>
      </c>
      <c r="BD279" s="32">
        <f t="shared" si="305"/>
        <v>-12.5035618199492</v>
      </c>
      <c r="BE279" s="31">
        <f t="shared" si="306"/>
        <v>159.528971880292</v>
      </c>
      <c r="BF279" s="30" t="str">
        <f t="shared" si="307"/>
        <v>0,295086636587675+0,427210082448286i</v>
      </c>
      <c r="BG279" s="68">
        <f t="shared" si="308"/>
        <v>-5.69304956492256</v>
      </c>
      <c r="BH279" s="31">
        <f t="shared" si="309"/>
        <v>55.3660153685321</v>
      </c>
      <c r="BI279" s="30" t="str">
        <f t="shared" si="263"/>
        <v>-0,0183032275140966+3,87751900974073i</v>
      </c>
      <c r="BJ279" s="68">
        <f t="shared" si="310"/>
        <v>11.7711754797766</v>
      </c>
      <c r="BK279" s="31">
        <f t="shared" si="264"/>
        <v>90.2704538382888</v>
      </c>
      <c r="BL279" s="32">
        <f t="shared" si="311"/>
        <v>-5.69304956492256</v>
      </c>
      <c r="BM279" s="31">
        <f t="shared" si="312"/>
        <v>55.3660153685321</v>
      </c>
      <c r="BO279">
        <f t="shared" si="313"/>
        <v>0</v>
      </c>
      <c r="BP279">
        <f t="shared" si="314"/>
        <v>0</v>
      </c>
    </row>
    <row r="280" spans="14:68">
      <c r="N280" s="7">
        <v>62</v>
      </c>
      <c r="O280" s="18">
        <f t="shared" si="262"/>
        <v>4168.69383470336</v>
      </c>
      <c r="P280" s="86" t="str">
        <f t="shared" si="265"/>
        <v>60</v>
      </c>
      <c r="Q280" s="4" t="str">
        <f t="shared" si="266"/>
        <v>1+34,2250964470554i</v>
      </c>
      <c r="R280" s="4">
        <f t="shared" si="277"/>
        <v>34.239702493016</v>
      </c>
      <c r="S280" s="4">
        <f t="shared" si="278"/>
        <v>1.5415863119438</v>
      </c>
      <c r="T280" s="4" t="str">
        <f t="shared" si="267"/>
        <v>1+0,410701157364665i</v>
      </c>
      <c r="U280" s="4">
        <f t="shared" si="279"/>
        <v>1.08105293147962</v>
      </c>
      <c r="V280" s="4">
        <f t="shared" si="280"/>
        <v>0.389697337865551</v>
      </c>
      <c r="W280" t="str">
        <f t="shared" si="268"/>
        <v>1-0,5729647842699i</v>
      </c>
      <c r="X280" s="4">
        <f t="shared" si="281"/>
        <v>1.15251405371625</v>
      </c>
      <c r="Y280" s="4">
        <f t="shared" si="282"/>
        <v>-0.520303416023247</v>
      </c>
      <c r="Z280" t="str">
        <f t="shared" si="269"/>
        <v>0,999858138707857+0,152879699872832i</v>
      </c>
      <c r="AA280" s="4">
        <f t="shared" si="283"/>
        <v>1.01147837355702</v>
      </c>
      <c r="AB280" s="4">
        <f t="shared" si="284"/>
        <v>0.151726278646833</v>
      </c>
      <c r="AC280" s="67" t="str">
        <f t="shared" si="285"/>
        <v>-0,540556112002726-2,08974779107826i</v>
      </c>
      <c r="AD280" s="68">
        <f t="shared" si="286"/>
        <v>6.68315710065634</v>
      </c>
      <c r="AE280" s="31">
        <f t="shared" si="287"/>
        <v>-104.502841894399</v>
      </c>
      <c r="AF280" s="32" t="str">
        <f t="shared" si="288"/>
        <v>326,048966736478</v>
      </c>
      <c r="AG280" s="32" t="str">
        <f t="shared" si="270"/>
        <v>1+22,0018477159642i</v>
      </c>
      <c r="AH280" s="32">
        <f t="shared" si="289"/>
        <v>22.0245613558245</v>
      </c>
      <c r="AI280" s="32">
        <f t="shared" si="290"/>
        <v>1.52537685677768</v>
      </c>
      <c r="AJ280" s="32" t="str">
        <f t="shared" si="271"/>
        <v>1+0,410701157364665i</v>
      </c>
      <c r="AK280" s="32">
        <f t="shared" si="291"/>
        <v>1.08105293147962</v>
      </c>
      <c r="AL280" s="32">
        <f t="shared" si="292"/>
        <v>0.389697337865551</v>
      </c>
      <c r="AM280" s="32" t="str">
        <f t="shared" si="272"/>
        <v>1-0,0677799881726881i</v>
      </c>
      <c r="AN280" s="32">
        <f t="shared" si="293"/>
        <v>1.0022944311911</v>
      </c>
      <c r="AO280" s="32">
        <f t="shared" si="294"/>
        <v>-0.0676764767300642</v>
      </c>
      <c r="AP280" s="30" t="str">
        <f t="shared" si="295"/>
        <v>5,76219267611849-14,9697928828942i</v>
      </c>
      <c r="AQ280" s="32">
        <f t="shared" si="296"/>
        <v>24.1043567346342</v>
      </c>
      <c r="AR280" s="31">
        <f t="shared" si="297"/>
        <v>-68.9472198020605</v>
      </c>
      <c r="AS280" t="str">
        <f t="shared" si="273"/>
        <v>-0,000100699300699301</v>
      </c>
      <c r="AT280" t="str">
        <f t="shared" si="274"/>
        <v>0,00588549426402041i</v>
      </c>
      <c r="AU280">
        <f t="shared" si="298"/>
        <v>0.00588549426402041</v>
      </c>
      <c r="AV280">
        <f t="shared" si="299"/>
        <v>1.5707963267949</v>
      </c>
      <c r="AW280" t="str">
        <f t="shared" si="275"/>
        <v>1+0,301326511251867i</v>
      </c>
      <c r="AX280">
        <f t="shared" si="300"/>
        <v>1.04441259394131</v>
      </c>
      <c r="AY280">
        <f t="shared" si="301"/>
        <v>0.292673332525617</v>
      </c>
      <c r="AZ280" t="str">
        <f t="shared" si="276"/>
        <v>1+14,405971718786i</v>
      </c>
      <c r="BA280">
        <f t="shared" si="302"/>
        <v>14.4406378377987</v>
      </c>
      <c r="BB280">
        <f t="shared" si="303"/>
        <v>1.5014918418646</v>
      </c>
      <c r="BC280" s="30" t="str">
        <f t="shared" si="304"/>
        <v>-0,221238894632336+0,0837748883625685i</v>
      </c>
      <c r="BD280" s="32">
        <f t="shared" si="305"/>
        <v>-12.5208441987148</v>
      </c>
      <c r="BE280" s="31">
        <f t="shared" si="306"/>
        <v>159.260198782419</v>
      </c>
      <c r="BF280" s="30" t="str">
        <f t="shared" si="307"/>
        <v>0,294660424609742+0,417048463421788i</v>
      </c>
      <c r="BG280" s="68">
        <f t="shared" si="308"/>
        <v>-5.83768709805844</v>
      </c>
      <c r="BH280" s="31">
        <f t="shared" si="309"/>
        <v>54.7573568880201</v>
      </c>
      <c r="BI280" s="30" t="str">
        <f t="shared" si="263"/>
        <v>-0,0207284107477628+3,79462747845196i</v>
      </c>
      <c r="BJ280" s="68">
        <f t="shared" si="310"/>
        <v>11.5835125359194</v>
      </c>
      <c r="BK280" s="31">
        <f t="shared" si="264"/>
        <v>90.3129789803588</v>
      </c>
      <c r="BL280" s="32">
        <f t="shared" si="311"/>
        <v>-5.83768709805844</v>
      </c>
      <c r="BM280" s="31">
        <f t="shared" si="312"/>
        <v>54.7573568880201</v>
      </c>
      <c r="BO280">
        <f t="shared" si="313"/>
        <v>0</v>
      </c>
      <c r="BP280">
        <f t="shared" si="314"/>
        <v>0</v>
      </c>
    </row>
    <row r="281" spans="14:68">
      <c r="N281" s="7">
        <v>63</v>
      </c>
      <c r="O281" s="18">
        <f t="shared" si="262"/>
        <v>4265.79518801593</v>
      </c>
      <c r="P281" s="86" t="str">
        <f t="shared" si="265"/>
        <v>60</v>
      </c>
      <c r="Q281" s="4" t="str">
        <f t="shared" si="266"/>
        <v>1+35,0223013544047i</v>
      </c>
      <c r="R281" s="4">
        <f t="shared" si="277"/>
        <v>35.0365750631927</v>
      </c>
      <c r="S281" s="4">
        <f t="shared" si="278"/>
        <v>1.54225084772042</v>
      </c>
      <c r="T281" s="4" t="str">
        <f t="shared" si="267"/>
        <v>1+0,420267616252856i</v>
      </c>
      <c r="U281" s="4">
        <f t="shared" si="279"/>
        <v>1.0847234068051</v>
      </c>
      <c r="V281" s="4">
        <f t="shared" si="280"/>
        <v>0.397855457249229</v>
      </c>
      <c r="W281" t="str">
        <f t="shared" si="268"/>
        <v>1-0,586310848567043i</v>
      </c>
      <c r="X281" s="4">
        <f t="shared" si="281"/>
        <v>1.15920680257985</v>
      </c>
      <c r="Y281" s="4">
        <f t="shared" si="282"/>
        <v>-0.530293135325308</v>
      </c>
      <c r="Z281" t="str">
        <f t="shared" si="269"/>
        <v>0,999851452991134+0,156440725541854i</v>
      </c>
      <c r="AA281" s="4">
        <f t="shared" si="283"/>
        <v>1.01201612074934</v>
      </c>
      <c r="AB281" s="4">
        <f t="shared" si="284"/>
        <v>0.155205603572981</v>
      </c>
      <c r="AC281" s="67" t="str">
        <f t="shared" si="285"/>
        <v>-0,545149683107569-2,05673608299614i</v>
      </c>
      <c r="AD281" s="68">
        <f t="shared" si="286"/>
        <v>6.55844213326598</v>
      </c>
      <c r="AE281" s="31">
        <f t="shared" si="287"/>
        <v>-104.845210568638</v>
      </c>
      <c r="AF281" s="32" t="str">
        <f t="shared" si="288"/>
        <v>326,048966736478</v>
      </c>
      <c r="AG281" s="32" t="str">
        <f t="shared" si="270"/>
        <v>1+22,5143365849745i</v>
      </c>
      <c r="AH281" s="32">
        <f t="shared" si="289"/>
        <v>22.5365337144274</v>
      </c>
      <c r="AI281" s="32">
        <f t="shared" si="290"/>
        <v>1.52640935693737</v>
      </c>
      <c r="AJ281" s="32" t="str">
        <f t="shared" si="271"/>
        <v>1+0,420267616252856i</v>
      </c>
      <c r="AK281" s="32">
        <f t="shared" si="291"/>
        <v>1.0847234068051</v>
      </c>
      <c r="AL281" s="32">
        <f t="shared" si="292"/>
        <v>0.397855457249229</v>
      </c>
      <c r="AM281" s="32" t="str">
        <f t="shared" si="272"/>
        <v>1-0,0693587869139841i</v>
      </c>
      <c r="AN281" s="32">
        <f t="shared" si="293"/>
        <v>1.00240243481457</v>
      </c>
      <c r="AO281" s="32">
        <f t="shared" si="294"/>
        <v>-0.0692478867568272</v>
      </c>
      <c r="AP281" s="30" t="str">
        <f t="shared" si="295"/>
        <v>5,73247267461412-14,6493580357853i</v>
      </c>
      <c r="AQ281" s="32">
        <f t="shared" si="296"/>
        <v>23.9351366741147</v>
      </c>
      <c r="AR281" s="31">
        <f t="shared" si="297"/>
        <v>-68.6289870565271</v>
      </c>
      <c r="AS281" t="str">
        <f t="shared" si="273"/>
        <v>-0,000100699300699301</v>
      </c>
      <c r="AT281" t="str">
        <f t="shared" si="274"/>
        <v>0,00602258503648066i</v>
      </c>
      <c r="AU281">
        <f t="shared" si="298"/>
        <v>0.00602258503648066</v>
      </c>
      <c r="AV281">
        <f t="shared" si="299"/>
        <v>1.5707963267949</v>
      </c>
      <c r="AW281" t="str">
        <f t="shared" si="275"/>
        <v>1+0,308345307352443i</v>
      </c>
      <c r="AX281">
        <f t="shared" si="300"/>
        <v>1.04645918628787</v>
      </c>
      <c r="AY281">
        <f t="shared" si="301"/>
        <v>0.299095346059901</v>
      </c>
      <c r="AZ281" t="str">
        <f t="shared" si="276"/>
        <v>1+14,7415299068285i</v>
      </c>
      <c r="BA281">
        <f t="shared" si="302"/>
        <v>14.7754087589454</v>
      </c>
      <c r="BB281">
        <f t="shared" si="303"/>
        <v>1.50306452829273</v>
      </c>
      <c r="BC281" s="30" t="str">
        <f t="shared" si="304"/>
        <v>-0,220374373452969+0,0846716826805266i</v>
      </c>
      <c r="BD281" s="32">
        <f t="shared" si="305"/>
        <v>-12.5387855304558</v>
      </c>
      <c r="BE281" s="31">
        <f t="shared" si="306"/>
        <v>158.982352805758</v>
      </c>
      <c r="BF281" s="30" t="str">
        <f t="shared" si="307"/>
        <v>0,294284324829953+0,407093184666914i</v>
      </c>
      <c r="BG281" s="68">
        <f t="shared" si="308"/>
        <v>-5.98034339718978</v>
      </c>
      <c r="BH281" s="31">
        <f t="shared" si="309"/>
        <v>54.1371422371206</v>
      </c>
      <c r="BI281" s="30" t="str">
        <f t="shared" si="263"/>
        <v>-0,0229042789249165+3,71372120590412i</v>
      </c>
      <c r="BJ281" s="68">
        <f t="shared" si="310"/>
        <v>11.3963511436589</v>
      </c>
      <c r="BK281" s="31">
        <f t="shared" si="264"/>
        <v>90.3533657492311</v>
      </c>
      <c r="BL281" s="32">
        <f t="shared" si="311"/>
        <v>-5.98034339718978</v>
      </c>
      <c r="BM281" s="31">
        <f t="shared" si="312"/>
        <v>54.1371422371206</v>
      </c>
      <c r="BO281">
        <f t="shared" si="313"/>
        <v>0</v>
      </c>
      <c r="BP281">
        <f t="shared" si="314"/>
        <v>0</v>
      </c>
    </row>
    <row r="282" spans="14:68">
      <c r="N282" s="7">
        <v>64</v>
      </c>
      <c r="O282" s="18">
        <f t="shared" si="262"/>
        <v>4365.15832240166</v>
      </c>
      <c r="P282" s="86" t="str">
        <f t="shared" si="265"/>
        <v>60</v>
      </c>
      <c r="Q282" s="4" t="str">
        <f t="shared" si="266"/>
        <v>1+35,838075549507i</v>
      </c>
      <c r="R282" s="4">
        <f t="shared" si="277"/>
        <v>35.8520244768991</v>
      </c>
      <c r="S282" s="4">
        <f t="shared" si="278"/>
        <v>1.54290028118533</v>
      </c>
      <c r="T282" s="4" t="str">
        <f t="shared" si="267"/>
        <v>1+0,430056906594084i</v>
      </c>
      <c r="U282" s="4">
        <f t="shared" si="279"/>
        <v>1.08855360130279</v>
      </c>
      <c r="V282" s="4">
        <f t="shared" si="280"/>
        <v>0.406146083820919</v>
      </c>
      <c r="W282" t="str">
        <f t="shared" si="268"/>
        <v>1-0,599967782636836i</v>
      </c>
      <c r="X282" s="4">
        <f t="shared" si="281"/>
        <v>1.16617380359969</v>
      </c>
      <c r="Y282" s="4">
        <f t="shared" si="282"/>
        <v>-0.540395810696255</v>
      </c>
      <c r="Z282" t="str">
        <f t="shared" si="269"/>
        <v>0,999844452186289+0,160084698154296i</v>
      </c>
      <c r="AA282" s="4">
        <f t="shared" si="283"/>
        <v>1.01257890514806</v>
      </c>
      <c r="AB282" s="4">
        <f t="shared" si="284"/>
        <v>0.158762127415067</v>
      </c>
      <c r="AC282" s="67" t="str">
        <f t="shared" si="285"/>
        <v>-0,54974076760502-2,02477644359873i</v>
      </c>
      <c r="AD282" s="68">
        <f t="shared" si="286"/>
        <v>6.43643581775043</v>
      </c>
      <c r="AE282" s="31">
        <f t="shared" si="287"/>
        <v>-105.19001691961</v>
      </c>
      <c r="AF282" s="32" t="str">
        <f t="shared" si="288"/>
        <v>326,048966736478</v>
      </c>
      <c r="AG282" s="32" t="str">
        <f t="shared" si="270"/>
        <v>1+23,0387628532545i</v>
      </c>
      <c r="AH282" s="32">
        <f t="shared" si="289"/>
        <v>23.0604551951712</v>
      </c>
      <c r="AI282" s="32">
        <f t="shared" si="290"/>
        <v>1.52741844603979</v>
      </c>
      <c r="AJ282" s="32" t="str">
        <f t="shared" si="271"/>
        <v>1+0,430056906594084i</v>
      </c>
      <c r="AK282" s="32">
        <f t="shared" si="291"/>
        <v>1.08855360130279</v>
      </c>
      <c r="AL282" s="32">
        <f t="shared" si="292"/>
        <v>0.406146083820919</v>
      </c>
      <c r="AM282" s="32" t="str">
        <f t="shared" si="272"/>
        <v>1-0,0709743606021739i</v>
      </c>
      <c r="AN282" s="32">
        <f t="shared" si="293"/>
        <v>1.00251551602102</v>
      </c>
      <c r="AO282" s="32">
        <f t="shared" si="294"/>
        <v>-0.0708555450408787</v>
      </c>
      <c r="AP282" s="30" t="str">
        <f t="shared" si="295"/>
        <v>5,70408514429144-14,3365718403364i</v>
      </c>
      <c r="AQ282" s="32">
        <f t="shared" si="296"/>
        <v>23.7671174892915</v>
      </c>
      <c r="AR282" s="31">
        <f t="shared" si="297"/>
        <v>-68.303897725747</v>
      </c>
      <c r="AS282" t="str">
        <f t="shared" si="273"/>
        <v>-0,000100699300699301</v>
      </c>
      <c r="AT282" t="str">
        <f t="shared" si="274"/>
        <v>0,00616286906324558i</v>
      </c>
      <c r="AU282">
        <f t="shared" si="298"/>
        <v>0.00616286906324558</v>
      </c>
      <c r="AV282">
        <f t="shared" si="299"/>
        <v>1.5707963267949</v>
      </c>
      <c r="AW282" t="str">
        <f t="shared" si="275"/>
        <v>1+0,31552759221641i</v>
      </c>
      <c r="AX282">
        <f t="shared" si="300"/>
        <v>1.04859795033649</v>
      </c>
      <c r="AY282">
        <f t="shared" si="301"/>
        <v>0.305640719470362</v>
      </c>
      <c r="AZ282" t="str">
        <f t="shared" si="276"/>
        <v>1+15,0849042491547i</v>
      </c>
      <c r="BA282">
        <f t="shared" si="302"/>
        <v>15.1180136329534</v>
      </c>
      <c r="BB282">
        <f t="shared" si="303"/>
        <v>1.50460174032304</v>
      </c>
      <c r="BC282" s="30" t="str">
        <f t="shared" si="304"/>
        <v>-0,219476320741507+0,0855905137865552i</v>
      </c>
      <c r="BD282" s="32">
        <f t="shared" si="305"/>
        <v>-12.5574151596822</v>
      </c>
      <c r="BE282" s="31">
        <f t="shared" si="306"/>
        <v>158.695406295555</v>
      </c>
      <c r="BF282" s="30" t="str">
        <f t="shared" si="307"/>
        <v>0,293956737146091+0,397337889416394i</v>
      </c>
      <c r="BG282" s="68">
        <f t="shared" si="308"/>
        <v>-6.12097934193179</v>
      </c>
      <c r="BH282" s="31">
        <f t="shared" si="309"/>
        <v>53.5053893759457</v>
      </c>
      <c r="BI282" s="30" t="str">
        <f t="shared" si="263"/>
        <v>-0,0248370709131216+3,63475361774549i</v>
      </c>
      <c r="BJ282" s="68">
        <f t="shared" si="310"/>
        <v>11.2097023296093</v>
      </c>
      <c r="BK282" s="31">
        <f t="shared" si="264"/>
        <v>90.3915085698084</v>
      </c>
      <c r="BL282" s="32">
        <f t="shared" si="311"/>
        <v>-6.12097934193179</v>
      </c>
      <c r="BM282" s="31">
        <f t="shared" si="312"/>
        <v>53.5053893759457</v>
      </c>
      <c r="BO282">
        <f t="shared" si="313"/>
        <v>0</v>
      </c>
      <c r="BP282">
        <f t="shared" si="314"/>
        <v>0</v>
      </c>
    </row>
    <row r="283" spans="14:68">
      <c r="N283" s="7">
        <v>65</v>
      </c>
      <c r="O283" s="18">
        <f t="shared" si="262"/>
        <v>4466.83592150963</v>
      </c>
      <c r="P283" s="86" t="str">
        <f t="shared" si="265"/>
        <v>60</v>
      </c>
      <c r="Q283" s="4" t="str">
        <f t="shared" si="266"/>
        <v>1+36,6728515666387i</v>
      </c>
      <c r="R283" s="4">
        <f t="shared" si="277"/>
        <v>36.6864830970306</v>
      </c>
      <c r="S283" s="4">
        <f t="shared" si="278"/>
        <v>1.54353495448423</v>
      </c>
      <c r="T283" s="4" t="str">
        <f t="shared" si="267"/>
        <v>1+0,440074218799665i</v>
      </c>
      <c r="U283" s="4">
        <f t="shared" si="279"/>
        <v>1.09254991558836</v>
      </c>
      <c r="V283" s="4">
        <f t="shared" si="280"/>
        <v>0.414569053513269</v>
      </c>
      <c r="W283" t="str">
        <f t="shared" si="268"/>
        <v>1-0,613942827566497i</v>
      </c>
      <c r="X283" s="4">
        <f t="shared" si="281"/>
        <v>1.17342481460055</v>
      </c>
      <c r="Y283" s="4">
        <f t="shared" si="282"/>
        <v>-0.55060854922064</v>
      </c>
      <c r="Z283" t="str">
        <f t="shared" si="269"/>
        <v>0,999837121443676+0,16381354979267i</v>
      </c>
      <c r="AA283" s="4">
        <f t="shared" si="283"/>
        <v>1.01316787775395</v>
      </c>
      <c r="AB283" s="4">
        <f t="shared" si="284"/>
        <v>0.162397382533754</v>
      </c>
      <c r="AC283" s="67" t="str">
        <f t="shared" si="285"/>
        <v>-0,55433836916696-1,99385011847686i</v>
      </c>
      <c r="AD283" s="68">
        <f t="shared" si="286"/>
        <v>6.31720626937387</v>
      </c>
      <c r="AE283" s="31">
        <f t="shared" si="287"/>
        <v>-105.53721199714</v>
      </c>
      <c r="AF283" s="32" t="str">
        <f t="shared" si="288"/>
        <v>326,048966736478</v>
      </c>
      <c r="AG283" s="32" t="str">
        <f t="shared" si="270"/>
        <v>1+23,5754045785535i</v>
      </c>
      <c r="AH283" s="32">
        <f t="shared" si="289"/>
        <v>23.5966035912476</v>
      </c>
      <c r="AI283" s="32">
        <f t="shared" si="290"/>
        <v>1.52840465089253</v>
      </c>
      <c r="AJ283" s="32" t="str">
        <f t="shared" si="271"/>
        <v>1+0,440074218799665i</v>
      </c>
      <c r="AK283" s="32">
        <f t="shared" si="291"/>
        <v>1.09254991558836</v>
      </c>
      <c r="AL283" s="32">
        <f t="shared" si="292"/>
        <v>0.414569053513269</v>
      </c>
      <c r="AM283" s="32" t="str">
        <f t="shared" si="272"/>
        <v>1-0,0726275658358117i</v>
      </c>
      <c r="AN283" s="32">
        <f t="shared" si="293"/>
        <v>1.00263391291101</v>
      </c>
      <c r="AO283" s="32">
        <f t="shared" si="294"/>
        <v>-0.0725002707244733</v>
      </c>
      <c r="AP283" s="30" t="str">
        <f t="shared" si="295"/>
        <v>5,67697056589511-14,0312763418751i</v>
      </c>
      <c r="AQ283" s="32">
        <f t="shared" si="296"/>
        <v>23.6003401874587</v>
      </c>
      <c r="AR283" s="31">
        <f t="shared" si="297"/>
        <v>-67.9720383273325</v>
      </c>
      <c r="AS283" t="str">
        <f t="shared" si="273"/>
        <v>-0,000100699300699301</v>
      </c>
      <c r="AT283" t="str">
        <f t="shared" si="274"/>
        <v>0,00630642072476306i</v>
      </c>
      <c r="AU283">
        <f t="shared" si="298"/>
        <v>0.00630642072476306</v>
      </c>
      <c r="AV283">
        <f t="shared" si="299"/>
        <v>1.5707963267949</v>
      </c>
      <c r="AW283" t="str">
        <f t="shared" si="275"/>
        <v>1+0,322877173986272i</v>
      </c>
      <c r="AX283">
        <f t="shared" si="300"/>
        <v>1.05083284564262</v>
      </c>
      <c r="AY283">
        <f t="shared" si="301"/>
        <v>0.312310679062151</v>
      </c>
      <c r="AZ283" t="str">
        <f t="shared" si="276"/>
        <v>1+15,4362768073862i</v>
      </c>
      <c r="BA283">
        <f t="shared" si="302"/>
        <v>15.4686341243902</v>
      </c>
      <c r="BB283">
        <f t="shared" si="303"/>
        <v>1.50610426392965</v>
      </c>
      <c r="BC283" s="30" t="str">
        <f t="shared" si="304"/>
        <v>-0,218543755681178+0,086530532484015i</v>
      </c>
      <c r="BD283" s="32">
        <f t="shared" si="305"/>
        <v>-12.576763155859</v>
      </c>
      <c r="BE283" s="31">
        <f t="shared" si="306"/>
        <v>158.3993340227</v>
      </c>
      <c r="BF283" s="30" t="str">
        <f t="shared" si="307"/>
        <v>0,293676101561046+0,387776298896957i</v>
      </c>
      <c r="BG283" s="68">
        <f t="shared" si="308"/>
        <v>-6.2595568864851</v>
      </c>
      <c r="BH283" s="31">
        <f t="shared" si="309"/>
        <v>52.86212202556</v>
      </c>
      <c r="BI283" s="30" t="str">
        <f t="shared" si="263"/>
        <v>-0,0265326550694052+3,55767911471683i</v>
      </c>
      <c r="BJ283" s="68">
        <f t="shared" si="310"/>
        <v>11.0235770315997</v>
      </c>
      <c r="BK283" s="31">
        <f t="shared" si="264"/>
        <v>90.4272956953677</v>
      </c>
      <c r="BL283" s="32">
        <f t="shared" si="311"/>
        <v>-6.2595568864851</v>
      </c>
      <c r="BM283" s="31">
        <f t="shared" si="312"/>
        <v>52.86212202556</v>
      </c>
      <c r="BO283">
        <f t="shared" si="313"/>
        <v>0</v>
      </c>
      <c r="BP283">
        <f t="shared" si="314"/>
        <v>0</v>
      </c>
    </row>
    <row r="284" spans="14:68">
      <c r="N284" s="7">
        <v>66</v>
      </c>
      <c r="O284" s="18">
        <f t="shared" ref="O284:O318" si="315">10^(3+(N284/100))</f>
        <v>4570.88189614875</v>
      </c>
      <c r="P284" s="86" t="str">
        <f t="shared" si="265"/>
        <v>60</v>
      </c>
      <c r="Q284" s="4" t="str">
        <f t="shared" si="266"/>
        <v>1+37,5270720150937i</v>
      </c>
      <c r="R284" s="4">
        <f t="shared" si="277"/>
        <v>37.5403933653608</v>
      </c>
      <c r="S284" s="4">
        <f t="shared" si="278"/>
        <v>1.54415520208292</v>
      </c>
      <c r="T284" s="4" t="str">
        <f t="shared" si="267"/>
        <v>1+0,450324864181125i</v>
      </c>
      <c r="U284" s="4">
        <f t="shared" si="279"/>
        <v>1.0967189627702</v>
      </c>
      <c r="V284" s="4">
        <f t="shared" si="280"/>
        <v>0.423124050610303</v>
      </c>
      <c r="W284" t="str">
        <f t="shared" si="268"/>
        <v>1-0,628243393109828i</v>
      </c>
      <c r="X284" s="4">
        <f t="shared" si="281"/>
        <v>1.18096983915177</v>
      </c>
      <c r="Y284" s="4">
        <f t="shared" si="282"/>
        <v>-0.560928243866111</v>
      </c>
      <c r="Z284" t="str">
        <f t="shared" si="269"/>
        <v>0,999829445213808+0,167629257543474i</v>
      </c>
      <c r="AA284" s="4">
        <f t="shared" si="283"/>
        <v>1.01378424109922</v>
      </c>
      <c r="AB284" s="4">
        <f t="shared" si="284"/>
        <v>0.166112919053033</v>
      </c>
      <c r="AC284" s="67" t="str">
        <f t="shared" si="285"/>
        <v>-0,558951442103888-1,96393873037165i</v>
      </c>
      <c r="AD284" s="68">
        <f t="shared" si="286"/>
        <v>6.20082108633146</v>
      </c>
      <c r="AE284" s="31">
        <f t="shared" si="287"/>
        <v>-105.886743849622</v>
      </c>
      <c r="AF284" s="32" t="str">
        <f t="shared" si="288"/>
        <v>326,048966736478</v>
      </c>
      <c r="AG284" s="32" t="str">
        <f t="shared" si="270"/>
        <v>1+24,1245462954174i</v>
      </c>
      <c r="AH284" s="32">
        <f t="shared" si="289"/>
        <v>24.1452631785147</v>
      </c>
      <c r="AI284" s="32">
        <f t="shared" si="290"/>
        <v>1.52936848671661</v>
      </c>
      <c r="AJ284" s="32" t="str">
        <f t="shared" si="271"/>
        <v>1+0,450324864181125i</v>
      </c>
      <c r="AK284" s="32">
        <f t="shared" si="291"/>
        <v>1.0967189627702</v>
      </c>
      <c r="AL284" s="32">
        <f t="shared" si="292"/>
        <v>0.423124050610303</v>
      </c>
      <c r="AM284" s="32" t="str">
        <f t="shared" si="272"/>
        <v>1-0,0743192791661953i</v>
      </c>
      <c r="AN284" s="32">
        <f t="shared" si="293"/>
        <v>1.00275787469148</v>
      </c>
      <c r="AO284" s="32">
        <f t="shared" si="294"/>
        <v>-0.0741829002494957</v>
      </c>
      <c r="AP284" s="30" t="str">
        <f t="shared" si="295"/>
        <v>5,65107205938264-13,7333170340532i</v>
      </c>
      <c r="AQ284" s="32">
        <f t="shared" si="296"/>
        <v>23.4348463728615</v>
      </c>
      <c r="AR284" s="31">
        <f t="shared" si="297"/>
        <v>-67.6335043950573</v>
      </c>
      <c r="AS284" t="str">
        <f t="shared" si="273"/>
        <v>-0,000100699300699301</v>
      </c>
      <c r="AT284" t="str">
        <f t="shared" si="274"/>
        <v>0,00645331613402415i</v>
      </c>
      <c r="AU284">
        <f t="shared" si="298"/>
        <v>0.00645331613402415</v>
      </c>
      <c r="AV284">
        <f t="shared" si="299"/>
        <v>1.5707963267949</v>
      </c>
      <c r="AW284" t="str">
        <f t="shared" si="275"/>
        <v>1+0,330397949507566i</v>
      </c>
      <c r="AX284">
        <f t="shared" si="300"/>
        <v>1.05316798519458</v>
      </c>
      <c r="AY284">
        <f t="shared" si="301"/>
        <v>0.319106386616183</v>
      </c>
      <c r="AZ284" t="str">
        <f t="shared" si="276"/>
        <v>1+15,7958338839042i</v>
      </c>
      <c r="BA284">
        <f t="shared" si="302"/>
        <v>15.8274561470849</v>
      </c>
      <c r="BB284">
        <f t="shared" si="303"/>
        <v>1.50757286861865</v>
      </c>
      <c r="BC284" s="30" t="str">
        <f t="shared" si="304"/>
        <v>-0,217575696626171+0,087490836096459i</v>
      </c>
      <c r="BD284" s="32">
        <f t="shared" si="305"/>
        <v>-12.5968603189433</v>
      </c>
      <c r="BE284" s="31">
        <f t="shared" si="306"/>
        <v>158.094113511502</v>
      </c>
      <c r="BF284" s="30" t="str">
        <f t="shared" si="307"/>
        <v>0,29344089095839+0,378402208384739i</v>
      </c>
      <c r="BG284" s="68">
        <f t="shared" si="308"/>
        <v>-6.39603923261186</v>
      </c>
      <c r="BH284" s="31">
        <f t="shared" si="309"/>
        <v>52.2073696618804</v>
      </c>
      <c r="BI284" s="30" t="str">
        <f t="shared" si="263"/>
        <v>-0,0279965503178117+3,48245303998891i</v>
      </c>
      <c r="BJ284" s="68">
        <f t="shared" si="310"/>
        <v>10.8379860539182</v>
      </c>
      <c r="BK284" s="31">
        <f t="shared" si="264"/>
        <v>90.4606091164449</v>
      </c>
      <c r="BL284" s="32">
        <f t="shared" si="311"/>
        <v>-6.39603923261186</v>
      </c>
      <c r="BM284" s="31">
        <f t="shared" si="312"/>
        <v>52.2073696618804</v>
      </c>
      <c r="BO284">
        <f t="shared" si="313"/>
        <v>0</v>
      </c>
      <c r="BP284">
        <f t="shared" si="314"/>
        <v>0</v>
      </c>
    </row>
    <row r="285" spans="14:68">
      <c r="N285" s="7">
        <v>67</v>
      </c>
      <c r="O285" s="18">
        <f t="shared" si="315"/>
        <v>4677.35141287198</v>
      </c>
      <c r="P285" s="86" t="str">
        <f t="shared" si="265"/>
        <v>60</v>
      </c>
      <c r="Q285" s="4" t="str">
        <f t="shared" si="266"/>
        <v>1+38,4011898138606i</v>
      </c>
      <c r="R285" s="4">
        <f t="shared" si="277"/>
        <v>38.4142080371332</v>
      </c>
      <c r="S285" s="4">
        <f t="shared" si="278"/>
        <v>1.54476135093487</v>
      </c>
      <c r="T285" s="4" t="str">
        <f t="shared" si="267"/>
        <v>1+0,460814277766327i</v>
      </c>
      <c r="U285" s="4">
        <f t="shared" si="279"/>
        <v>1.10106757221948</v>
      </c>
      <c r="V285" s="4">
        <f t="shared" si="280"/>
        <v>0.431810601057653</v>
      </c>
      <c r="W285" t="str">
        <f t="shared" si="268"/>
        <v>1-0,64287706161597i</v>
      </c>
      <c r="X285" s="4">
        <f t="shared" si="281"/>
        <v>1.18881912684478</v>
      </c>
      <c r="Y285" s="4">
        <f t="shared" si="282"/>
        <v>-0.571351573845747</v>
      </c>
      <c r="Z285" t="str">
        <f t="shared" si="269"/>
        <v>0,999821407214372+0,171533844545463i</v>
      </c>
      <c r="AA285" s="4">
        <f t="shared" si="283"/>
        <v>1.01442925142598</v>
      </c>
      <c r="AB285" s="4">
        <f t="shared" si="284"/>
        <v>0.169910304117759</v>
      </c>
      <c r="AC285" s="67" t="str">
        <f t="shared" si="285"/>
        <v>-0,56358890440033-1,935024262428i</v>
      </c>
      <c r="AD285" s="68">
        <f t="shared" si="286"/>
        <v>6.08734717484309</v>
      </c>
      <c r="AE285" s="31">
        <f t="shared" si="287"/>
        <v>-106.238557895135</v>
      </c>
      <c r="AF285" s="32" t="str">
        <f t="shared" si="288"/>
        <v>326,048966736478</v>
      </c>
      <c r="AG285" s="32" t="str">
        <f t="shared" si="270"/>
        <v>1+24,6864791660532i</v>
      </c>
      <c r="AH285" s="32">
        <f t="shared" si="289"/>
        <v>24.7067248662379</v>
      </c>
      <c r="AI285" s="32">
        <f t="shared" si="290"/>
        <v>1.53031045738341</v>
      </c>
      <c r="AJ285" s="32" t="str">
        <f t="shared" si="271"/>
        <v>1+0,460814277766327i</v>
      </c>
      <c r="AK285" s="32">
        <f t="shared" si="291"/>
        <v>1.10106757221948</v>
      </c>
      <c r="AL285" s="32">
        <f t="shared" si="292"/>
        <v>0.431810601057653</v>
      </c>
      <c r="AM285" s="32" t="str">
        <f t="shared" si="272"/>
        <v>1-0,0760503975621246i</v>
      </c>
      <c r="AN285" s="32">
        <f t="shared" si="293"/>
        <v>1.00288766218822</v>
      </c>
      <c r="AO285" s="32">
        <f t="shared" si="294"/>
        <v>-0.0759042876355843</v>
      </c>
      <c r="AP285" s="30" t="str">
        <f t="shared" si="295"/>
        <v>5,62633526860338-13,4425428115096i</v>
      </c>
      <c r="AQ285" s="32">
        <f t="shared" si="296"/>
        <v>23.2706782028413</v>
      </c>
      <c r="AR285" s="31">
        <f t="shared" si="297"/>
        <v>-67.288400891659</v>
      </c>
      <c r="AS285" t="str">
        <f t="shared" si="273"/>
        <v>-0,000100699300699301</v>
      </c>
      <c r="AT285" t="str">
        <f t="shared" si="274"/>
        <v>0,00660363317691924i</v>
      </c>
      <c r="AU285">
        <f t="shared" si="298"/>
        <v>0.00660363317691924</v>
      </c>
      <c r="AV285">
        <f t="shared" si="299"/>
        <v>1.5707963267949</v>
      </c>
      <c r="AW285" t="str">
        <f t="shared" si="275"/>
        <v>1+0,338093906395022i</v>
      </c>
      <c r="AX285">
        <f t="shared" si="300"/>
        <v>1.05560763995977</v>
      </c>
      <c r="AY285">
        <f t="shared" si="301"/>
        <v>0.326028933748867</v>
      </c>
      <c r="AZ285" t="str">
        <f t="shared" si="276"/>
        <v>1+16,1637661206301i</v>
      </c>
      <c r="BA285">
        <f t="shared" si="302"/>
        <v>16.194669962751</v>
      </c>
      <c r="BB285">
        <f t="shared" si="303"/>
        <v>1.50900830770954</v>
      </c>
      <c r="BC285" s="30" t="str">
        <f t="shared" si="304"/>
        <v>-0,216571163923044+0,0884704662945103i</v>
      </c>
      <c r="BD285" s="32">
        <f t="shared" si="305"/>
        <v>-12.6177381825237</v>
      </c>
      <c r="BE285" s="31">
        <f t="shared" si="306"/>
        <v>157.779725378975</v>
      </c>
      <c r="BF285" s="30" t="str">
        <f t="shared" si="307"/>
        <v>0,293249603788289+0,369209483562652i</v>
      </c>
      <c r="BG285" s="68">
        <f t="shared" si="308"/>
        <v>-6.53039100768057</v>
      </c>
      <c r="BH285" s="31">
        <f t="shared" si="309"/>
        <v>51.5411674838397</v>
      </c>
      <c r="BI285" s="30" t="str">
        <f t="shared" si="263"/>
        <v>-0,0292339470245346+3,40903164751657i</v>
      </c>
      <c r="BJ285" s="68">
        <f t="shared" si="310"/>
        <v>10.6529400203176</v>
      </c>
      <c r="BK285" s="31">
        <f t="shared" si="264"/>
        <v>90.4913244873156</v>
      </c>
      <c r="BL285" s="32">
        <f t="shared" si="311"/>
        <v>-6.53039100768057</v>
      </c>
      <c r="BM285" s="31">
        <f t="shared" si="312"/>
        <v>51.5411674838397</v>
      </c>
      <c r="BO285">
        <f t="shared" si="313"/>
        <v>0</v>
      </c>
      <c r="BP285">
        <f t="shared" si="314"/>
        <v>0</v>
      </c>
    </row>
    <row r="286" spans="14:68">
      <c r="N286" s="7">
        <v>68</v>
      </c>
      <c r="O286" s="18">
        <f t="shared" si="315"/>
        <v>4786.30092322638</v>
      </c>
      <c r="P286" s="86" t="str">
        <f t="shared" si="265"/>
        <v>60</v>
      </c>
      <c r="Q286" s="4" t="str">
        <f t="shared" si="266"/>
        <v>1+39,2956684317666i</v>
      </c>
      <c r="R286" s="4">
        <f t="shared" si="277"/>
        <v>39.3083904211218</v>
      </c>
      <c r="S286" s="4">
        <f t="shared" si="278"/>
        <v>1.54535372064554</v>
      </c>
      <c r="T286" s="4" t="str">
        <f t="shared" si="267"/>
        <v>1+0,4715480211812i</v>
      </c>
      <c r="U286" s="4">
        <f t="shared" si="279"/>
        <v>1.1056027931766</v>
      </c>
      <c r="V286" s="4">
        <f t="shared" si="280"/>
        <v>0.440628065916359</v>
      </c>
      <c r="W286" t="str">
        <f t="shared" si="268"/>
        <v>1-0,657851592049665i</v>
      </c>
      <c r="X286" s="4">
        <f t="shared" si="281"/>
        <v>1.19698317329956</v>
      </c>
      <c r="Y286" s="4">
        <f t="shared" si="282"/>
        <v>-0.581875005856418</v>
      </c>
      <c r="Z286" t="str">
        <f t="shared" si="269"/>
        <v>0,999812990395692+0,175529381062348i</v>
      </c>
      <c r="AA286" s="4">
        <f t="shared" si="283"/>
        <v>1.01510422094488</v>
      </c>
      <c r="AB286" s="4">
        <f t="shared" si="284"/>
        <v>0.173791121065607</v>
      </c>
      <c r="AC286" s="67" t="str">
        <f t="shared" si="285"/>
        <v>-0,568259650200122-1,90708904106899i</v>
      </c>
      <c r="AD286" s="68">
        <f t="shared" si="286"/>
        <v>5.97685056723301</v>
      </c>
      <c r="AE286" s="31">
        <f t="shared" si="287"/>
        <v>-106.592597329438</v>
      </c>
      <c r="AF286" s="32" t="str">
        <f t="shared" si="288"/>
        <v>326,048966736478</v>
      </c>
      <c r="AG286" s="32" t="str">
        <f t="shared" si="270"/>
        <v>1+25,2615011347071i</v>
      </c>
      <c r="AH286" s="32">
        <f t="shared" si="289"/>
        <v>25.2812863513471</v>
      </c>
      <c r="AI286" s="32">
        <f t="shared" si="290"/>
        <v>1.53123105564786</v>
      </c>
      <c r="AJ286" s="32" t="str">
        <f t="shared" si="271"/>
        <v>1+0,4715480211812i</v>
      </c>
      <c r="AK286" s="32">
        <f t="shared" si="291"/>
        <v>1.1056027931766</v>
      </c>
      <c r="AL286" s="32">
        <f t="shared" si="292"/>
        <v>0.440628065916359</v>
      </c>
      <c r="AM286" s="32" t="str">
        <f t="shared" si="272"/>
        <v>1-0,0778218388854875i</v>
      </c>
      <c r="AN286" s="32">
        <f t="shared" si="293"/>
        <v>1.00302354838135</v>
      </c>
      <c r="AO286" s="32">
        <f t="shared" si="294"/>
        <v>-0.0776653047561085</v>
      </c>
      <c r="AP286" s="30" t="str">
        <f t="shared" si="295"/>
        <v>5,60270825086589-13,1588059220664i</v>
      </c>
      <c r="AQ286" s="32">
        <f t="shared" si="296"/>
        <v>23.1078783392544</v>
      </c>
      <c r="AR286" s="31">
        <f t="shared" si="297"/>
        <v>-66.936842613087</v>
      </c>
      <c r="AS286" t="str">
        <f t="shared" si="273"/>
        <v>-0,000100699300699301</v>
      </c>
      <c r="AT286" t="str">
        <f t="shared" si="274"/>
        <v>0,00675745155353415i</v>
      </c>
      <c r="AU286">
        <f t="shared" si="298"/>
        <v>0.00675745155353415</v>
      </c>
      <c r="AV286">
        <f t="shared" si="299"/>
        <v>1.5707963267949</v>
      </c>
      <c r="AW286" t="str">
        <f t="shared" si="275"/>
        <v>1+0,345969125146852i</v>
      </c>
      <c r="AX286">
        <f t="shared" si="300"/>
        <v>1.05815624345126</v>
      </c>
      <c r="AY286">
        <f t="shared" si="301"/>
        <v>0.333079336078434</v>
      </c>
      <c r="AZ286" t="str">
        <f t="shared" si="276"/>
        <v>1+16,5402686001058i</v>
      </c>
      <c r="BA286">
        <f t="shared" si="302"/>
        <v>16.5704702819095</v>
      </c>
      <c r="BB286">
        <f t="shared" si="303"/>
        <v>1.51041131861614</v>
      </c>
      <c r="BC286" s="30" t="str">
        <f t="shared" si="304"/>
        <v>-0,215529182971001+0,0894684070117643i</v>
      </c>
      <c r="BD286" s="32">
        <f t="shared" si="305"/>
        <v>-12.6394290143704</v>
      </c>
      <c r="BE286" s="31">
        <f t="shared" si="306"/>
        <v>157.456153685181</v>
      </c>
      <c r="BF286" s="30" t="str">
        <f t="shared" si="307"/>
        <v>0,293100756657055+0,360192057202082i</v>
      </c>
      <c r="BG286" s="68">
        <f t="shared" si="308"/>
        <v>-6.66257844713742</v>
      </c>
      <c r="BH286" s="31">
        <f t="shared" si="309"/>
        <v>50.8635563557427</v>
      </c>
      <c r="BI286" s="30" t="str">
        <f t="shared" si="263"/>
        <v>-0,0302497277097602+3,33737207141358i</v>
      </c>
      <c r="BJ286" s="68">
        <f t="shared" si="310"/>
        <v>10.468449324884</v>
      </c>
      <c r="BK286" s="31">
        <f t="shared" si="264"/>
        <v>90.5193110720937</v>
      </c>
      <c r="BL286" s="32">
        <f t="shared" si="311"/>
        <v>-6.66257844713742</v>
      </c>
      <c r="BM286" s="31">
        <f t="shared" si="312"/>
        <v>50.8635563557427</v>
      </c>
      <c r="BO286">
        <f t="shared" si="313"/>
        <v>0</v>
      </c>
      <c r="BP286">
        <f t="shared" si="314"/>
        <v>0</v>
      </c>
    </row>
    <row r="287" spans="14:68">
      <c r="N287" s="7">
        <v>69</v>
      </c>
      <c r="O287" s="18">
        <f t="shared" si="315"/>
        <v>4897.78819368446</v>
      </c>
      <c r="P287" s="86" t="str">
        <f t="shared" si="265"/>
        <v>60</v>
      </c>
      <c r="Q287" s="4" t="str">
        <f t="shared" si="266"/>
        <v>1+40,2109821332148i</v>
      </c>
      <c r="R287" s="4">
        <f t="shared" si="277"/>
        <v>40.2234146252866</v>
      </c>
      <c r="S287" s="4">
        <f t="shared" si="278"/>
        <v>1.54593262363334</v>
      </c>
      <c r="T287" s="4" t="str">
        <f t="shared" si="267"/>
        <v>1+0,482531785598578i</v>
      </c>
      <c r="U287" s="4">
        <f t="shared" si="279"/>
        <v>1.11033189817863</v>
      </c>
      <c r="V287" s="4">
        <f t="shared" si="280"/>
        <v>0.449575635005314</v>
      </c>
      <c r="W287" t="str">
        <f t="shared" si="268"/>
        <v>1-0,673174924105158i</v>
      </c>
      <c r="X287" s="4">
        <f t="shared" si="281"/>
        <v>1.20547271990866</v>
      </c>
      <c r="Y287" s="4">
        <f t="shared" si="282"/>
        <v>-0.592494796229212</v>
      </c>
      <c r="Z287" t="str">
        <f t="shared" si="269"/>
        <v>0,99980417690457+0,179617985580479i</v>
      </c>
      <c r="AA287" s="4">
        <f t="shared" si="283"/>
        <v>1.01581052017579</v>
      </c>
      <c r="AB287" s="4">
        <f t="shared" si="284"/>
        <v>0.177756968508147</v>
      </c>
      <c r="AC287" s="67" t="str">
        <f t="shared" si="285"/>
        <v>-0,572972561729049-1,88011571847598i</v>
      </c>
      <c r="AD287" s="68">
        <f t="shared" si="286"/>
        <v>5.86939623352662</v>
      </c>
      <c r="AE287" s="31">
        <f t="shared" si="287"/>
        <v>-106.948803570012</v>
      </c>
      <c r="AF287" s="32" t="str">
        <f t="shared" si="288"/>
        <v>326,048966736478</v>
      </c>
      <c r="AG287" s="32" t="str">
        <f t="shared" si="270"/>
        <v>1+25,8499170856381i</v>
      </c>
      <c r="AH287" s="32">
        <f t="shared" si="289"/>
        <v>25.8692522762906</v>
      </c>
      <c r="AI287" s="32">
        <f t="shared" si="290"/>
        <v>1.53213076337814</v>
      </c>
      <c r="AJ287" s="32" t="str">
        <f t="shared" si="271"/>
        <v>1+0,482531785598578i</v>
      </c>
      <c r="AK287" s="32">
        <f t="shared" si="291"/>
        <v>1.11033189817863</v>
      </c>
      <c r="AL287" s="32">
        <f t="shared" si="292"/>
        <v>0.449575635005314</v>
      </c>
      <c r="AM287" s="32" t="str">
        <f t="shared" si="272"/>
        <v>1-0,0796345423779211i</v>
      </c>
      <c r="AN287" s="32">
        <f t="shared" si="293"/>
        <v>1.00316581896501</v>
      </c>
      <c r="AO287" s="32">
        <f t="shared" si="294"/>
        <v>-0.0794668416113664</v>
      </c>
      <c r="AP287" s="30" t="str">
        <f t="shared" si="295"/>
        <v>5,58014137119967-12,8819619185793i</v>
      </c>
      <c r="AQ287" s="32">
        <f t="shared" si="296"/>
        <v>22.9464898951007</v>
      </c>
      <c r="AR287" s="31">
        <f t="shared" si="297"/>
        <v>-66.578954581572</v>
      </c>
      <c r="AS287" t="str">
        <f t="shared" si="273"/>
        <v>-0,000100699300699301</v>
      </c>
      <c r="AT287" t="str">
        <f t="shared" si="274"/>
        <v>0,00691485282040819i</v>
      </c>
      <c r="AU287">
        <f t="shared" si="298"/>
        <v>0.00691485282040819</v>
      </c>
      <c r="AV287">
        <f t="shared" si="299"/>
        <v>1.5707963267949</v>
      </c>
      <c r="AW287" t="str">
        <f t="shared" si="275"/>
        <v>1+0,354027781308276i</v>
      </c>
      <c r="AX287">
        <f t="shared" si="300"/>
        <v>1.0608183963045</v>
      </c>
      <c r="AY287">
        <f t="shared" si="301"/>
        <v>0.340258527207128</v>
      </c>
      <c r="AZ287" t="str">
        <f t="shared" si="276"/>
        <v>1+16,9255409489297i</v>
      </c>
      <c r="BA287">
        <f t="shared" si="302"/>
        <v>16.9550563671695</v>
      </c>
      <c r="BB287">
        <f t="shared" si="303"/>
        <v>1.51178262312701</v>
      </c>
      <c r="BC287" s="30" t="str">
        <f t="shared" si="304"/>
        <v>-0,214448787526161+0,090483582470863i</v>
      </c>
      <c r="BD287" s="32">
        <f t="shared" si="305"/>
        <v>-12.661965814204</v>
      </c>
      <c r="BE287" s="31">
        <f t="shared" si="306"/>
        <v>157.123386294089</v>
      </c>
      <c r="BF287" s="30" t="str">
        <f t="shared" si="307"/>
        <v>0,29299287681604+0,351343926193299i</v>
      </c>
      <c r="BG287" s="68">
        <f t="shared" si="308"/>
        <v>-6.79256958067733</v>
      </c>
      <c r="BH287" s="31">
        <f t="shared" si="309"/>
        <v>50.1745827240767</v>
      </c>
      <c r="BI287" s="30" t="str">
        <f t="shared" si="263"/>
        <v>-0,0310484876320523+3,26743229635753i</v>
      </c>
      <c r="BJ287" s="68">
        <f t="shared" si="310"/>
        <v>10.2845240808968</v>
      </c>
      <c r="BK287" s="31">
        <f t="shared" si="264"/>
        <v>90.5444317125169</v>
      </c>
      <c r="BL287" s="32">
        <f t="shared" si="311"/>
        <v>-6.79256958067733</v>
      </c>
      <c r="BM287" s="31">
        <f t="shared" si="312"/>
        <v>50.1745827240767</v>
      </c>
      <c r="BO287">
        <f t="shared" si="313"/>
        <v>0</v>
      </c>
      <c r="BP287">
        <f t="shared" si="314"/>
        <v>0</v>
      </c>
    </row>
    <row r="288" spans="14:68">
      <c r="N288" s="7">
        <v>70</v>
      </c>
      <c r="O288" s="18">
        <f t="shared" si="315"/>
        <v>5011.87233627273</v>
      </c>
      <c r="P288" s="86" t="str">
        <f t="shared" si="265"/>
        <v>60</v>
      </c>
      <c r="Q288" s="4" t="str">
        <f t="shared" si="266"/>
        <v>1+41,1476162296454i</v>
      </c>
      <c r="R288" s="4">
        <f t="shared" si="277"/>
        <v>41.1597658081552</v>
      </c>
      <c r="S288" s="4">
        <f t="shared" si="278"/>
        <v>1.54649836528733</v>
      </c>
      <c r="T288" s="4" t="str">
        <f t="shared" si="267"/>
        <v>1+0,493771394755745i</v>
      </c>
      <c r="U288" s="4">
        <f t="shared" si="279"/>
        <v>1.11526238629259</v>
      </c>
      <c r="V288" s="4">
        <f t="shared" si="280"/>
        <v>0.458652320779918</v>
      </c>
      <c r="W288" t="str">
        <f t="shared" si="268"/>
        <v>1-0,688855182415938i</v>
      </c>
      <c r="X288" s="4">
        <f t="shared" si="281"/>
        <v>1.21429875333103</v>
      </c>
      <c r="Y288" s="4">
        <f t="shared" si="282"/>
        <v>-0.60320699402229</v>
      </c>
      <c r="Z288" t="str">
        <f t="shared" si="269"/>
        <v>0,999794948046407+0,18380182593209i</v>
      </c>
      <c r="AA288" s="4">
        <f t="shared" si="283"/>
        <v>1.01654958037229</v>
      </c>
      <c r="AB288" s="4">
        <f t="shared" si="284"/>
        <v>0.181809459315557</v>
      </c>
      <c r="AC288" s="67" t="str">
        <f t="shared" si="285"/>
        <v>-0,577736520638904-1,85408725465912i</v>
      </c>
      <c r="AD288" s="68">
        <f t="shared" si="286"/>
        <v>5.76504788717317</v>
      </c>
      <c r="AE288" s="31">
        <f t="shared" si="287"/>
        <v>-107.307116734863</v>
      </c>
      <c r="AF288" s="32" t="str">
        <f t="shared" si="288"/>
        <v>326,048966736478</v>
      </c>
      <c r="AG288" s="32" t="str">
        <f t="shared" si="270"/>
        <v>1+26,452039004772i</v>
      </c>
      <c r="AH288" s="32">
        <f t="shared" si="289"/>
        <v>26.4709343905722</v>
      </c>
      <c r="AI288" s="32">
        <f t="shared" si="290"/>
        <v>1.53301005178155</v>
      </c>
      <c r="AJ288" s="32" t="str">
        <f t="shared" si="271"/>
        <v>1+0,493771394755745i</v>
      </c>
      <c r="AK288" s="32">
        <f t="shared" si="291"/>
        <v>1.11526238629259</v>
      </c>
      <c r="AL288" s="32">
        <f t="shared" si="292"/>
        <v>0.458652320779918</v>
      </c>
      <c r="AM288" s="32" t="str">
        <f t="shared" si="272"/>
        <v>1-0,0814894691588116i</v>
      </c>
      <c r="AN288" s="32">
        <f t="shared" si="293"/>
        <v>1.0033147729321</v>
      </c>
      <c r="AO288" s="32">
        <f t="shared" si="294"/>
        <v>-0.0813098065983243</v>
      </c>
      <c r="AP288" s="30" t="str">
        <f t="shared" si="295"/>
        <v>5,55858720112408-12,6118696105546i</v>
      </c>
      <c r="AQ288" s="32">
        <f t="shared" si="296"/>
        <v>22.7865563763289</v>
      </c>
      <c r="AR288" s="31">
        <f t="shared" si="297"/>
        <v>-66.2148724247539</v>
      </c>
      <c r="AS288" t="str">
        <f t="shared" si="273"/>
        <v>-0,000100699300699301</v>
      </c>
      <c r="AT288" t="str">
        <f t="shared" si="274"/>
        <v>0,00707592043377653i</v>
      </c>
      <c r="AU288">
        <f t="shared" si="298"/>
        <v>0.00707592043377653</v>
      </c>
      <c r="AV288">
        <f t="shared" si="299"/>
        <v>1.5707963267949</v>
      </c>
      <c r="AW288" t="str">
        <f t="shared" si="275"/>
        <v>1+0,362274147685463i</v>
      </c>
      <c r="AX288">
        <f t="shared" si="300"/>
        <v>1.06359887085368</v>
      </c>
      <c r="AY288">
        <f t="shared" si="301"/>
        <v>0.347567352530648</v>
      </c>
      <c r="AZ288" t="str">
        <f t="shared" si="276"/>
        <v>1+17,3197874436007i</v>
      </c>
      <c r="BA288">
        <f t="shared" si="302"/>
        <v>17.3486321389183</v>
      </c>
      <c r="BB288">
        <f t="shared" si="303"/>
        <v>1.51312292768465</v>
      </c>
      <c r="BC288" s="30" t="str">
        <f t="shared" si="304"/>
        <v>-0,213329023253409+0,091514855342424i</v>
      </c>
      <c r="BD288" s="32">
        <f t="shared" si="305"/>
        <v>-12.6853823084826</v>
      </c>
      <c r="BE288" s="31">
        <f t="shared" si="306"/>
        <v>156.781415244268</v>
      </c>
      <c r="BF288" s="30" t="str">
        <f t="shared" si="307"/>
        <v>0,292924494548082+0,34265914895072i</v>
      </c>
      <c r="BG288" s="68">
        <f t="shared" si="308"/>
        <v>-6.92033442130947</v>
      </c>
      <c r="BH288" s="31">
        <f t="shared" si="309"/>
        <v>49.4742985094049</v>
      </c>
      <c r="BI288" s="30" t="str">
        <f t="shared" si="263"/>
        <v>-0,0316345552772832+3,19917112903808i</v>
      </c>
      <c r="BJ288" s="68">
        <f t="shared" si="310"/>
        <v>10.1011740678462</v>
      </c>
      <c r="BK288" s="31">
        <f t="shared" si="264"/>
        <v>90.5665428195137</v>
      </c>
      <c r="BL288" s="32">
        <f t="shared" si="311"/>
        <v>-6.92033442130947</v>
      </c>
      <c r="BM288" s="31">
        <f t="shared" si="312"/>
        <v>49.4742985094049</v>
      </c>
      <c r="BO288">
        <f t="shared" si="313"/>
        <v>0</v>
      </c>
      <c r="BP288">
        <f t="shared" si="314"/>
        <v>0</v>
      </c>
    </row>
    <row r="289" spans="14:68">
      <c r="N289" s="7">
        <v>71</v>
      </c>
      <c r="O289" s="18">
        <f t="shared" si="315"/>
        <v>5128.61383991365</v>
      </c>
      <c r="P289" s="86" t="str">
        <f t="shared" si="265"/>
        <v>60</v>
      </c>
      <c r="Q289" s="4" t="str">
        <f t="shared" si="266"/>
        <v>1+42,1060673368539i</v>
      </c>
      <c r="R289" s="4">
        <f t="shared" si="277"/>
        <v>42.1179404360621</v>
      </c>
      <c r="S289" s="4">
        <f t="shared" si="278"/>
        <v>1.54705124412183</v>
      </c>
      <c r="T289" s="4" t="str">
        <f t="shared" si="267"/>
        <v>1+0,505272808042247i</v>
      </c>
      <c r="U289" s="4">
        <f t="shared" si="279"/>
        <v>1.1204019861402</v>
      </c>
      <c r="V289" s="4">
        <f t="shared" si="280"/>
        <v>0.46785695249671</v>
      </c>
      <c r="W289" t="str">
        <f t="shared" si="268"/>
        <v>1-0,70490068086251i</v>
      </c>
      <c r="X289" s="4">
        <f t="shared" si="281"/>
        <v>1.22347250475049</v>
      </c>
      <c r="Y289" s="4">
        <f t="shared" si="282"/>
        <v>-0.614007445080078</v>
      </c>
      <c r="Z289" t="str">
        <f t="shared" si="269"/>
        <v>0,99978528424556+0,188083120444714i</v>
      </c>
      <c r="AA289" s="4">
        <f t="shared" si="283"/>
        <v>1.01732289603164</v>
      </c>
      <c r="AB289" s="4">
        <f t="shared" si="284"/>
        <v>0.185950219499321</v>
      </c>
      <c r="AC289" s="67" t="str">
        <f t="shared" si="285"/>
        <v>-0,582560418753344-1,82898689910332i</v>
      </c>
      <c r="AD289" s="68">
        <f t="shared" si="286"/>
        <v>5.66386778557903</v>
      </c>
      <c r="AE289" s="31">
        <f t="shared" si="287"/>
        <v>-107.667476154271</v>
      </c>
      <c r="AF289" s="32" t="str">
        <f t="shared" si="288"/>
        <v>326,048966736478</v>
      </c>
      <c r="AG289" s="32" t="str">
        <f t="shared" si="270"/>
        <v>1+27,0681861451204i</v>
      </c>
      <c r="AH289" s="32">
        <f t="shared" si="289"/>
        <v>27.0866517160554</v>
      </c>
      <c r="AI289" s="32">
        <f t="shared" si="290"/>
        <v>1.53386938162677</v>
      </c>
      <c r="AJ289" s="32" t="str">
        <f t="shared" si="271"/>
        <v>1+0,505272808042247i</v>
      </c>
      <c r="AK289" s="32">
        <f t="shared" si="291"/>
        <v>1.1204019861402</v>
      </c>
      <c r="AL289" s="32">
        <f t="shared" si="292"/>
        <v>0.46785695249671</v>
      </c>
      <c r="AM289" s="32" t="str">
        <f t="shared" si="272"/>
        <v>1-0,0833876027348905i</v>
      </c>
      <c r="AN289" s="32">
        <f t="shared" si="293"/>
        <v>1.00347072318522</v>
      </c>
      <c r="AO289" s="32">
        <f t="shared" si="294"/>
        <v>-0.0831951267761553</v>
      </c>
      <c r="AP289" s="30" t="str">
        <f t="shared" si="295"/>
        <v>5,53800042174348-12,3483910156377i</v>
      </c>
      <c r="AQ289" s="32">
        <f t="shared" si="296"/>
        <v>22.6281216188195</v>
      </c>
      <c r="AR289" s="31">
        <f t="shared" si="297"/>
        <v>-65.844742737971</v>
      </c>
      <c r="AS289" t="str">
        <f t="shared" si="273"/>
        <v>-0,000100699300699301</v>
      </c>
      <c r="AT289" t="str">
        <f t="shared" si="274"/>
        <v>0,00724073979381971i</v>
      </c>
      <c r="AU289">
        <f t="shared" si="298"/>
        <v>0.00724073979381971</v>
      </c>
      <c r="AV289">
        <f t="shared" si="299"/>
        <v>1.5707963267949</v>
      </c>
      <c r="AW289" t="str">
        <f t="shared" si="275"/>
        <v>1+0,370712596611017i</v>
      </c>
      <c r="AX289">
        <f t="shared" si="300"/>
        <v>1.06650261569585</v>
      </c>
      <c r="AY289">
        <f t="shared" si="301"/>
        <v>0.355006562888395</v>
      </c>
      <c r="AZ289" t="str">
        <f t="shared" si="276"/>
        <v>1+17,7232171188288i</v>
      </c>
      <c r="BA289">
        <f t="shared" si="302"/>
        <v>17.7514062834792</v>
      </c>
      <c r="BB289">
        <f t="shared" si="303"/>
        <v>1.51443292366342</v>
      </c>
      <c r="BC289" s="30" t="str">
        <f t="shared" si="304"/>
        <v>-0,212168951527788+0,0925610250610407i</v>
      </c>
      <c r="BD289" s="32">
        <f t="shared" si="305"/>
        <v>-12.709712942009</v>
      </c>
      <c r="BE289" s="31">
        <f t="shared" si="306"/>
        <v>156.430237128621</v>
      </c>
      <c r="BF289" s="30" t="str">
        <f t="shared" si="307"/>
        <v>0,292894135452704+0,334131843221013i</v>
      </c>
      <c r="BG289" s="68">
        <f t="shared" si="308"/>
        <v>-7.04584515642996</v>
      </c>
      <c r="BH289" s="31">
        <f t="shared" si="309"/>
        <v>48.7627609743498</v>
      </c>
      <c r="BI289" s="30" t="str">
        <f t="shared" si="263"/>
        <v>-0,0320120127797909+3,13254817066806i</v>
      </c>
      <c r="BJ289" s="68">
        <f t="shared" si="310"/>
        <v>9.91840867681046</v>
      </c>
      <c r="BK289" s="31">
        <f t="shared" si="264"/>
        <v>90.5854943906501</v>
      </c>
      <c r="BL289" s="32">
        <f t="shared" si="311"/>
        <v>-7.04584515642996</v>
      </c>
      <c r="BM289" s="31">
        <f t="shared" si="312"/>
        <v>48.7627609743498</v>
      </c>
      <c r="BO289">
        <f t="shared" si="313"/>
        <v>0</v>
      </c>
      <c r="BP289">
        <f t="shared" si="314"/>
        <v>0</v>
      </c>
    </row>
    <row r="290" spans="14:68">
      <c r="N290" s="7">
        <v>72</v>
      </c>
      <c r="O290" s="18">
        <f t="shared" si="315"/>
        <v>5248.07460249773</v>
      </c>
      <c r="P290" s="86" t="str">
        <f t="shared" si="265"/>
        <v>60</v>
      </c>
      <c r="Q290" s="4" t="str">
        <f t="shared" si="266"/>
        <v>1+43,0868436383042i</v>
      </c>
      <c r="R290" s="4">
        <f t="shared" si="277"/>
        <v>43.0984465463858</v>
      </c>
      <c r="S290" s="4">
        <f t="shared" si="278"/>
        <v>1.54759155192771</v>
      </c>
      <c r="T290" s="4" t="str">
        <f t="shared" si="267"/>
        <v>1+0,517042123659651i</v>
      </c>
      <c r="U290" s="4">
        <f t="shared" si="279"/>
        <v>1.1257586587002</v>
      </c>
      <c r="V290" s="4">
        <f t="shared" si="280"/>
        <v>0.477188170715733</v>
      </c>
      <c r="W290" t="str">
        <f t="shared" si="268"/>
        <v>1-0,72131992698054i</v>
      </c>
      <c r="X290" s="4">
        <f t="shared" si="281"/>
        <v>1.23300544891708</v>
      </c>
      <c r="Y290" s="4">
        <f t="shared" si="282"/>
        <v>-0.624891797075654</v>
      </c>
      <c r="Z290" t="str">
        <f t="shared" si="269"/>
        <v>0,999775165003809+0,192464139117374i</v>
      </c>
      <c r="AA290" s="4">
        <f t="shared" si="283"/>
        <v>1.01813202749181</v>
      </c>
      <c r="AB290" s="4">
        <f t="shared" si="284"/>
        <v>0.190180886987075</v>
      </c>
      <c r="AC290" s="67" t="str">
        <f t="shared" si="285"/>
        <v>-0,587453168192358-1,80479817197541i</v>
      </c>
      <c r="AD290" s="68">
        <f t="shared" si="286"/>
        <v>5.565916526212</v>
      </c>
      <c r="AE290" s="31">
        <f t="shared" si="287"/>
        <v>-108.029820913174</v>
      </c>
      <c r="AF290" s="32" t="str">
        <f t="shared" si="288"/>
        <v>326,048966736478</v>
      </c>
      <c r="AG290" s="32" t="str">
        <f t="shared" si="270"/>
        <v>1+27,6986851960527i</v>
      </c>
      <c r="AH290" s="32">
        <f t="shared" si="289"/>
        <v>27.7167307161222</v>
      </c>
      <c r="AI290" s="32">
        <f t="shared" si="290"/>
        <v>1.53470920346241</v>
      </c>
      <c r="AJ290" s="32" t="str">
        <f t="shared" si="271"/>
        <v>1+0,517042123659651i</v>
      </c>
      <c r="AK290" s="32">
        <f t="shared" si="291"/>
        <v>1.1257586587002</v>
      </c>
      <c r="AL290" s="32">
        <f t="shared" si="292"/>
        <v>0.477188170715733</v>
      </c>
      <c r="AM290" s="32" t="str">
        <f t="shared" si="272"/>
        <v>1-0,085329949521705i</v>
      </c>
      <c r="AN290" s="32">
        <f t="shared" si="293"/>
        <v>1.00363399717495</v>
      </c>
      <c r="AO290" s="32">
        <f t="shared" si="294"/>
        <v>-0.0851237481267863</v>
      </c>
      <c r="AP290" s="30" t="str">
        <f t="shared" si="295"/>
        <v>5,51833773099401-12,0913913110669i</v>
      </c>
      <c r="AQ290" s="32">
        <f t="shared" si="296"/>
        <v>22.4712297205834</v>
      </c>
      <c r="AR290" s="31">
        <f t="shared" si="297"/>
        <v>-65.4687234267001</v>
      </c>
      <c r="AS290" t="str">
        <f t="shared" si="273"/>
        <v>-0,000100699300699301</v>
      </c>
      <c r="AT290" t="str">
        <f t="shared" si="274"/>
        <v>0,0074093982899441i</v>
      </c>
      <c r="AU290">
        <f t="shared" si="298"/>
        <v>0.0074093982899441</v>
      </c>
      <c r="AV290">
        <f t="shared" si="299"/>
        <v>1.5707963267949</v>
      </c>
      <c r="AW290" t="str">
        <f t="shared" si="275"/>
        <v>1+0,379347602262256i</v>
      </c>
      <c r="AX290">
        <f t="shared" si="300"/>
        <v>1.06953476023088</v>
      </c>
      <c r="AY290">
        <f t="shared" si="301"/>
        <v>0.362576808070576</v>
      </c>
      <c r="AZ290" t="str">
        <f t="shared" si="276"/>
        <v>1+18,1360438783678i</v>
      </c>
      <c r="BA290">
        <f t="shared" si="302"/>
        <v>18.1635923637942</v>
      </c>
      <c r="BB290">
        <f t="shared" si="303"/>
        <v>1.51571328764578</v>
      </c>
      <c r="BC290" s="30" t="str">
        <f t="shared" si="304"/>
        <v>-0,210967653485331+0,0936208263239797i</v>
      </c>
      <c r="BD290" s="32">
        <f t="shared" si="305"/>
        <v>-12.7349928661537</v>
      </c>
      <c r="BE290" s="31">
        <f t="shared" si="306"/>
        <v>156.069853482233</v>
      </c>
      <c r="BF290" s="30" t="str">
        <f t="shared" si="307"/>
        <v>0,292900312634411+0,325756184323459i</v>
      </c>
      <c r="BG290" s="68">
        <f t="shared" si="308"/>
        <v>-7.1690763399417</v>
      </c>
      <c r="BH290" s="31">
        <f t="shared" si="309"/>
        <v>48.0400325690593</v>
      </c>
      <c r="BI290" s="30" t="str">
        <f t="shared" si="263"/>
        <v>-0,0321847162987006+3,06752379057916i</v>
      </c>
      <c r="BJ290" s="68">
        <f t="shared" si="310"/>
        <v>9.73623685442974</v>
      </c>
      <c r="BK290" s="31">
        <f t="shared" si="264"/>
        <v>90.601130055533</v>
      </c>
      <c r="BL290" s="32">
        <f t="shared" si="311"/>
        <v>-7.1690763399417</v>
      </c>
      <c r="BM290" s="31">
        <f t="shared" si="312"/>
        <v>48.0400325690593</v>
      </c>
      <c r="BO290">
        <f t="shared" si="313"/>
        <v>0</v>
      </c>
      <c r="BP290">
        <f t="shared" si="314"/>
        <v>0</v>
      </c>
    </row>
    <row r="291" spans="14:68">
      <c r="N291" s="7">
        <v>73</v>
      </c>
      <c r="O291" s="18">
        <f t="shared" si="315"/>
        <v>5370.31796370253</v>
      </c>
      <c r="P291" s="86" t="str">
        <f t="shared" si="265"/>
        <v>60</v>
      </c>
      <c r="Q291" s="4" t="str">
        <f t="shared" si="266"/>
        <v>1+44,0904651545732i</v>
      </c>
      <c r="R291" s="4">
        <f t="shared" si="277"/>
        <v>44.1018040169179</v>
      </c>
      <c r="S291" s="4">
        <f t="shared" si="278"/>
        <v>1.54811957392075</v>
      </c>
      <c r="T291" s="4" t="str">
        <f t="shared" si="267"/>
        <v>1+0,529085581854879i</v>
      </c>
      <c r="U291" s="4">
        <f t="shared" si="279"/>
        <v>1.13134059987553</v>
      </c>
      <c r="V291" s="4">
        <f t="shared" si="280"/>
        <v>0.486644422193911</v>
      </c>
      <c r="W291" t="str">
        <f t="shared" si="268"/>
        <v>1-0,73812162647165i</v>
      </c>
      <c r="X291" s="4">
        <f t="shared" si="281"/>
        <v>1.24290930299244</v>
      </c>
      <c r="Y291" s="4">
        <f t="shared" si="282"/>
        <v>-0.635855505545429</v>
      </c>
      <c r="Z291" t="str">
        <f t="shared" si="269"/>
        <v>0,999764568856888+0,196947204824156i</v>
      </c>
      <c r="AA291" s="4">
        <f t="shared" si="283"/>
        <v>1.01897860361719</v>
      </c>
      <c r="AB291" s="4">
        <f t="shared" si="284"/>
        <v>0.194503110283577</v>
      </c>
      <c r="AC291" s="67" t="str">
        <f t="shared" si="285"/>
        <v>-0,592423710848149-1,78150484487922i</v>
      </c>
      <c r="AD291" s="68">
        <f t="shared" si="286"/>
        <v>5.47125283910961</v>
      </c>
      <c r="AE291" s="31">
        <f t="shared" si="287"/>
        <v>-108.394090421284</v>
      </c>
      <c r="AF291" s="32" t="str">
        <f t="shared" si="288"/>
        <v>326,048966736478</v>
      </c>
      <c r="AG291" s="32" t="str">
        <f t="shared" si="270"/>
        <v>1+28,3438704565114i</v>
      </c>
      <c r="AH291" s="32">
        <f t="shared" si="289"/>
        <v>28.3615054687776</v>
      </c>
      <c r="AI291" s="32">
        <f t="shared" si="290"/>
        <v>1.53552995783179</v>
      </c>
      <c r="AJ291" s="32" t="str">
        <f t="shared" si="271"/>
        <v>1+0,529085581854879i</v>
      </c>
      <c r="AK291" s="32">
        <f t="shared" si="291"/>
        <v>1.13134059987553</v>
      </c>
      <c r="AL291" s="32">
        <f t="shared" si="292"/>
        <v>0.486644422193911</v>
      </c>
      <c r="AM291" s="32" t="str">
        <f t="shared" si="272"/>
        <v>1-0,0873175393772311i</v>
      </c>
      <c r="AN291" s="32">
        <f t="shared" si="293"/>
        <v>1.0038049375665</v>
      </c>
      <c r="AO291" s="32">
        <f t="shared" si="294"/>
        <v>-0.0870966358095873</v>
      </c>
      <c r="AP291" s="30" t="str">
        <f t="shared" si="295"/>
        <v>5,49955775487272-11,8407387851812i</v>
      </c>
      <c r="AQ291" s="32">
        <f t="shared" si="296"/>
        <v>22.3159249692545</v>
      </c>
      <c r="AR291" s="31">
        <f t="shared" si="297"/>
        <v>-65.0869840260463</v>
      </c>
      <c r="AS291" t="str">
        <f t="shared" si="273"/>
        <v>-0,000100699300699301</v>
      </c>
      <c r="AT291" t="str">
        <f t="shared" si="274"/>
        <v>0,0075819853471168i</v>
      </c>
      <c r="AU291">
        <f t="shared" si="298"/>
        <v>0.0075819853471168</v>
      </c>
      <c r="AV291">
        <f t="shared" si="299"/>
        <v>1.5707963267949</v>
      </c>
      <c r="AW291" t="str">
        <f t="shared" si="275"/>
        <v>1+0,388183743033473i</v>
      </c>
      <c r="AX291">
        <f t="shared" si="300"/>
        <v>1.0727006191643</v>
      </c>
      <c r="AY291">
        <f t="shared" si="301"/>
        <v>0.370278630200616</v>
      </c>
      <c r="AZ291" t="str">
        <f t="shared" si="276"/>
        <v>1+18,55848660843i</v>
      </c>
      <c r="BA291">
        <f t="shared" si="302"/>
        <v>18.585408932689</v>
      </c>
      <c r="BB291">
        <f t="shared" si="303"/>
        <v>1.51696468169664</v>
      </c>
      <c r="BC291" s="30" t="str">
        <f t="shared" si="304"/>
        <v>-0,209724234321115+0,0946929277995519i</v>
      </c>
      <c r="BD291" s="32">
        <f t="shared" si="305"/>
        <v>-12.7612579234957</v>
      </c>
      <c r="BE291" s="31">
        <f t="shared" si="306"/>
        <v>155.700271177243</v>
      </c>
      <c r="BF291" s="30" t="str">
        <f t="shared" si="307"/>
        <v>0,292941518802002+0,317526403853565i</v>
      </c>
      <c r="BG291" s="68">
        <f t="shared" si="308"/>
        <v>-7.29000508438611</v>
      </c>
      <c r="BH291" s="31">
        <f t="shared" si="309"/>
        <v>47.3061807559594</v>
      </c>
      <c r="BI291" s="30" t="str">
        <f t="shared" si="263"/>
        <v>-0,0321563163669143+3,00405910093008i</v>
      </c>
      <c r="BJ291" s="68">
        <f t="shared" si="310"/>
        <v>9.55466704575872</v>
      </c>
      <c r="BK291" s="31">
        <f t="shared" si="264"/>
        <v>90.6132871511968</v>
      </c>
      <c r="BL291" s="32">
        <f t="shared" si="311"/>
        <v>-7.29000508438611</v>
      </c>
      <c r="BM291" s="31">
        <f t="shared" si="312"/>
        <v>47.3061807559594</v>
      </c>
      <c r="BO291">
        <f t="shared" si="313"/>
        <v>0</v>
      </c>
      <c r="BP291">
        <f t="shared" si="314"/>
        <v>0</v>
      </c>
    </row>
    <row r="292" spans="14:68">
      <c r="N292" s="7">
        <v>74</v>
      </c>
      <c r="O292" s="18">
        <f t="shared" si="315"/>
        <v>5495.40873857625</v>
      </c>
      <c r="P292" s="86" t="str">
        <f t="shared" si="265"/>
        <v>60</v>
      </c>
      <c r="Q292" s="4" t="str">
        <f t="shared" si="266"/>
        <v>1+45,1174640190736i</v>
      </c>
      <c r="R292" s="4">
        <f t="shared" si="277"/>
        <v>45.1285448415125</v>
      </c>
      <c r="S292" s="4">
        <f t="shared" si="278"/>
        <v>1.54863558888678</v>
      </c>
      <c r="T292" s="4" t="str">
        <f t="shared" si="267"/>
        <v>1+0,541409568228884i</v>
      </c>
      <c r="U292" s="4">
        <f t="shared" si="279"/>
        <v>1.13715624281353</v>
      </c>
      <c r="V292" s="4">
        <f t="shared" si="280"/>
        <v>0.496223955224008</v>
      </c>
      <c r="W292" t="str">
        <f t="shared" si="268"/>
        <v>1-0,755314687819313i</v>
      </c>
      <c r="X292" s="4">
        <f t="shared" si="281"/>
        <v>1.25319602522334</v>
      </c>
      <c r="Y292" s="4">
        <f t="shared" si="282"/>
        <v>-0.646893840917076</v>
      </c>
      <c r="Z292" t="str">
        <f t="shared" si="269"/>
        <v>0,999753473328947+0,201534694545842i</v>
      </c>
      <c r="AA292" s="4">
        <f t="shared" si="283"/>
        <v>1.0198643245741</v>
      </c>
      <c r="AB292" s="4">
        <f t="shared" si="284"/>
        <v>0.198918547011706</v>
      </c>
      <c r="AC292" s="67" t="str">
        <f t="shared" si="285"/>
        <v>-0,597481027181465-1,75909092114621i</v>
      </c>
      <c r="AD292" s="68">
        <f t="shared" si="286"/>
        <v>5.37993337669197</v>
      </c>
      <c r="AE292" s="31">
        <f t="shared" si="287"/>
        <v>-108.760225007546</v>
      </c>
      <c r="AF292" s="32" t="str">
        <f t="shared" si="288"/>
        <v>326,048966736478</v>
      </c>
      <c r="AG292" s="32" t="str">
        <f t="shared" si="270"/>
        <v>1+29,0040840122616i</v>
      </c>
      <c r="AH292" s="32">
        <f t="shared" si="289"/>
        <v>29.0213178437908</v>
      </c>
      <c r="AI292" s="32">
        <f t="shared" si="290"/>
        <v>1.53633207548408</v>
      </c>
      <c r="AJ292" s="32" t="str">
        <f t="shared" si="271"/>
        <v>1+0,541409568228884i</v>
      </c>
      <c r="AK292" s="32">
        <f t="shared" si="291"/>
        <v>1.13715624281353</v>
      </c>
      <c r="AL292" s="32">
        <f t="shared" si="292"/>
        <v>0.496223955224008</v>
      </c>
      <c r="AM292" s="32" t="str">
        <f t="shared" si="272"/>
        <v>1-0,0893514261479195i</v>
      </c>
      <c r="AN292" s="32">
        <f t="shared" si="293"/>
        <v>1.00398390293603</v>
      </c>
      <c r="AO292" s="32">
        <f t="shared" si="294"/>
        <v>-0.089114774409284</v>
      </c>
      <c r="AP292" s="30" t="str">
        <f t="shared" si="295"/>
        <v>5,48162096248783-11,5963047890614i</v>
      </c>
      <c r="AQ292" s="32">
        <f t="shared" si="296"/>
        <v>22.162251764997</v>
      </c>
      <c r="AR292" s="31">
        <f t="shared" si="297"/>
        <v>-64.6997059941003</v>
      </c>
      <c r="AS292" t="str">
        <f t="shared" si="273"/>
        <v>-0,000100699300699301</v>
      </c>
      <c r="AT292" t="str">
        <f t="shared" si="274"/>
        <v>0,00775859247327998i</v>
      </c>
      <c r="AU292">
        <f t="shared" si="298"/>
        <v>0.00775859247327998</v>
      </c>
      <c r="AV292">
        <f t="shared" si="299"/>
        <v>1.5707963267949</v>
      </c>
      <c r="AW292" t="str">
        <f t="shared" si="275"/>
        <v>1+0,397225703963466i</v>
      </c>
      <c r="AX292">
        <f t="shared" si="300"/>
        <v>1.07600569695949</v>
      </c>
      <c r="AY292">
        <f t="shared" si="301"/>
        <v>0.378112457014043</v>
      </c>
      <c r="AZ292" t="str">
        <f t="shared" si="276"/>
        <v>1+18,9907692937427i</v>
      </c>
      <c r="BA292">
        <f t="shared" si="302"/>
        <v>19.0170796487831</v>
      </c>
      <c r="BB292">
        <f t="shared" si="303"/>
        <v>1.51818775363545</v>
      </c>
      <c r="BC292" s="30" t="str">
        <f t="shared" si="304"/>
        <v>-0,208437827829793+0,0957759310733064i</v>
      </c>
      <c r="BD292" s="32">
        <f t="shared" si="305"/>
        <v>-12.7885446286807</v>
      </c>
      <c r="BE292" s="31">
        <f t="shared" si="306"/>
        <v>155.321502823532</v>
      </c>
      <c r="BF292" s="30" t="str">
        <f t="shared" si="307"/>
        <v>0,293016218290597+0,309436788881885i</v>
      </c>
      <c r="BG292" s="68">
        <f t="shared" si="308"/>
        <v>-7.40861125198874</v>
      </c>
      <c r="BH292" s="31">
        <f t="shared" si="309"/>
        <v>46.5612778159858</v>
      </c>
      <c r="BI292" s="30" t="str">
        <f t="shared" si="263"/>
        <v>-0,0319302782250253+2,94211593255741i</v>
      </c>
      <c r="BJ292" s="68">
        <f t="shared" si="310"/>
        <v>9.37370713631624</v>
      </c>
      <c r="BK292" s="31">
        <f t="shared" si="264"/>
        <v>90.6217968294318</v>
      </c>
      <c r="BL292" s="32">
        <f t="shared" si="311"/>
        <v>-7.40861125198874</v>
      </c>
      <c r="BM292" s="31">
        <f t="shared" si="312"/>
        <v>46.5612778159858</v>
      </c>
      <c r="BO292">
        <f t="shared" si="313"/>
        <v>0</v>
      </c>
      <c r="BP292">
        <f t="shared" si="314"/>
        <v>0</v>
      </c>
    </row>
    <row r="293" spans="14:68">
      <c r="N293" s="7">
        <v>75</v>
      </c>
      <c r="O293" s="18">
        <f t="shared" si="315"/>
        <v>5623.4132519035</v>
      </c>
      <c r="P293" s="86" t="str">
        <f t="shared" si="265"/>
        <v>60</v>
      </c>
      <c r="Q293" s="4" t="str">
        <f t="shared" si="266"/>
        <v>1+46,1683847601971i</v>
      </c>
      <c r="R293" s="4">
        <f t="shared" si="277"/>
        <v>46.1792134121576</v>
      </c>
      <c r="S293" s="4">
        <f t="shared" si="278"/>
        <v>1.54913986932395</v>
      </c>
      <c r="T293" s="4" t="str">
        <f t="shared" si="267"/>
        <v>1+0,554020617122365i</v>
      </c>
      <c r="U293" s="4">
        <f t="shared" si="279"/>
        <v>1.14321425996908</v>
      </c>
      <c r="V293" s="4">
        <f t="shared" si="280"/>
        <v>0.505924815474331</v>
      </c>
      <c r="W293" t="str">
        <f t="shared" si="268"/>
        <v>1-0,772908227012228i</v>
      </c>
      <c r="X293" s="4">
        <f t="shared" si="281"/>
        <v>1.26387781347058</v>
      </c>
      <c r="Y293" s="4">
        <f t="shared" si="282"/>
        <v>-0.658001896522878</v>
      </c>
      <c r="Z293" t="str">
        <f t="shared" si="269"/>
        <v>0,999741854884884+0,206229040630202i</v>
      </c>
      <c r="AA293" s="4">
        <f t="shared" si="283"/>
        <v>1.02079096469744</v>
      </c>
      <c r="AB293" s="4">
        <f t="shared" si="284"/>
        <v>0.203428862327135</v>
      </c>
      <c r="AC293" s="67" t="str">
        <f t="shared" si="285"/>
        <v>-0,602634144303265-1,73754061565127i</v>
      </c>
      <c r="AD293" s="68">
        <f t="shared" si="286"/>
        <v>5.29201250184547</v>
      </c>
      <c r="AE293" s="31">
        <f t="shared" si="287"/>
        <v>-109.128166534953</v>
      </c>
      <c r="AF293" s="32" t="str">
        <f t="shared" si="288"/>
        <v>326,048966736478</v>
      </c>
      <c r="AG293" s="32" t="str">
        <f t="shared" si="270"/>
        <v>1+29,6796759172696i</v>
      </c>
      <c r="AH293" s="32">
        <f t="shared" si="289"/>
        <v>29.6965176839668</v>
      </c>
      <c r="AI293" s="32">
        <f t="shared" si="290"/>
        <v>1.53711597758173</v>
      </c>
      <c r="AJ293" s="32" t="str">
        <f t="shared" si="271"/>
        <v>1+0,554020617122365i</v>
      </c>
      <c r="AK293" s="32">
        <f t="shared" si="291"/>
        <v>1.14321425996908</v>
      </c>
      <c r="AL293" s="32">
        <f t="shared" si="292"/>
        <v>0.505924815474331</v>
      </c>
      <c r="AM293" s="32" t="str">
        <f t="shared" si="272"/>
        <v>1-0,0914326882274573i</v>
      </c>
      <c r="AN293" s="32">
        <f t="shared" si="293"/>
        <v>1.00417126849781</v>
      </c>
      <c r="AO293" s="32">
        <f t="shared" si="294"/>
        <v>-0.0911791681760919</v>
      </c>
      <c r="AP293" s="30" t="str">
        <f t="shared" si="295"/>
        <v>5,4644895847721-11,357963688379i</v>
      </c>
      <c r="AQ293" s="32">
        <f t="shared" si="296"/>
        <v>22.010254538998</v>
      </c>
      <c r="AR293" s="31">
        <f t="shared" si="297"/>
        <v>-64.3070829759481</v>
      </c>
      <c r="AS293" t="str">
        <f t="shared" si="273"/>
        <v>-0,000100699300699301</v>
      </c>
      <c r="AT293" t="str">
        <f t="shared" si="274"/>
        <v>0,00793931330786962i</v>
      </c>
      <c r="AU293">
        <f t="shared" si="298"/>
        <v>0.00793931330786962</v>
      </c>
      <c r="AV293">
        <f t="shared" si="299"/>
        <v>1.5707963267949</v>
      </c>
      <c r="AW293" t="str">
        <f t="shared" si="275"/>
        <v>1+0,406478279219604i</v>
      </c>
      <c r="AX293">
        <f t="shared" si="300"/>
        <v>1.07945569222517</v>
      </c>
      <c r="AY293">
        <f t="shared" si="301"/>
        <v>0.386078595057729</v>
      </c>
      <c r="AZ293" t="str">
        <f t="shared" si="276"/>
        <v>1+19,4331211363074i</v>
      </c>
      <c r="BA293">
        <f t="shared" si="302"/>
        <v>19.4588333951036</v>
      </c>
      <c r="BB293">
        <f t="shared" si="303"/>
        <v>1.51938313730606</v>
      </c>
      <c r="BC293" s="30" t="str">
        <f t="shared" si="304"/>
        <v>-0,20710760118115+0,0968683698612113i</v>
      </c>
      <c r="BD293" s="32">
        <f t="shared" si="305"/>
        <v>-12.8168901453046</v>
      </c>
      <c r="BE293" s="31">
        <f t="shared" si="306"/>
        <v>154.933567173835</v>
      </c>
      <c r="BF293" s="30" t="str">
        <f t="shared" si="307"/>
        <v>0,293122839022288+0,30148168168099i</v>
      </c>
      <c r="BG293" s="68">
        <f t="shared" si="308"/>
        <v>-7.52487764345909</v>
      </c>
      <c r="BH293" s="31">
        <f t="shared" si="309"/>
        <v>45.8054006388818</v>
      </c>
      <c r="BI293" s="30" t="str">
        <f t="shared" si="263"/>
        <v>-0,031509902145423+2,88165681200322i</v>
      </c>
      <c r="BJ293" s="68">
        <f t="shared" si="310"/>
        <v>9.19336439369341</v>
      </c>
      <c r="BK293" s="31">
        <f t="shared" si="264"/>
        <v>90.6264841978871</v>
      </c>
      <c r="BL293" s="32">
        <f t="shared" si="311"/>
        <v>-7.52487764345909</v>
      </c>
      <c r="BM293" s="31">
        <f t="shared" si="312"/>
        <v>45.8054006388818</v>
      </c>
      <c r="BO293">
        <f t="shared" si="313"/>
        <v>0</v>
      </c>
      <c r="BP293">
        <f t="shared" si="314"/>
        <v>0</v>
      </c>
    </row>
    <row r="294" spans="14:68">
      <c r="N294" s="7">
        <v>76</v>
      </c>
      <c r="O294" s="18">
        <f t="shared" si="315"/>
        <v>5754.39937337157</v>
      </c>
      <c r="P294" s="86" t="str">
        <f t="shared" si="265"/>
        <v>60</v>
      </c>
      <c r="Q294" s="4" t="str">
        <f t="shared" si="266"/>
        <v>1+47,2437845900313i</v>
      </c>
      <c r="R294" s="4">
        <f t="shared" si="277"/>
        <v>47.2543668076219</v>
      </c>
      <c r="S294" s="4">
        <f t="shared" si="278"/>
        <v>1.54963268158191</v>
      </c>
      <c r="T294" s="4" t="str">
        <f t="shared" si="267"/>
        <v>1+0,566925415080376i</v>
      </c>
      <c r="U294" s="4">
        <f t="shared" si="279"/>
        <v>1.14952356490159</v>
      </c>
      <c r="V294" s="4">
        <f t="shared" si="280"/>
        <v>0.515744842384676</v>
      </c>
      <c r="W294" t="str">
        <f t="shared" si="268"/>
        <v>1-0,790911572377756i</v>
      </c>
      <c r="X294" s="4">
        <f t="shared" si="281"/>
        <v>1.27496710362309</v>
      </c>
      <c r="Y294" s="4">
        <f t="shared" si="282"/>
        <v>-0.669174597581782</v>
      </c>
      <c r="Z294" t="str">
        <f t="shared" si="269"/>
        <v>0,999729688880422+0,211032732081669i</v>
      </c>
      <c r="AA294" s="4">
        <f t="shared" si="283"/>
        <v>1.02176037544955</v>
      </c>
      <c r="AB294" s="4">
        <f t="shared" si="284"/>
        <v>0.208035727200357</v>
      </c>
      <c r="AC294" s="67" t="str">
        <f t="shared" si="285"/>
        <v>-0,607892143302565-1,71683833414489i</v>
      </c>
      <c r="AD294" s="68">
        <f t="shared" si="286"/>
        <v>5.20754207530043</v>
      </c>
      <c r="AE294" s="31">
        <f t="shared" si="287"/>
        <v>-109.497859031219</v>
      </c>
      <c r="AF294" s="32" t="str">
        <f t="shared" si="288"/>
        <v>326,048966736478</v>
      </c>
      <c r="AG294" s="32" t="str">
        <f t="shared" si="270"/>
        <v>1+30,3710043793058i</v>
      </c>
      <c r="AH294" s="32">
        <f t="shared" si="289"/>
        <v>30.3874629906449</v>
      </c>
      <c r="AI294" s="32">
        <f t="shared" si="290"/>
        <v>1.53788207590411</v>
      </c>
      <c r="AJ294" s="32" t="str">
        <f t="shared" si="271"/>
        <v>1+0,566925415080376i</v>
      </c>
      <c r="AK294" s="32">
        <f t="shared" si="291"/>
        <v>1.14952356490159</v>
      </c>
      <c r="AL294" s="32">
        <f t="shared" si="292"/>
        <v>0.515744842384676</v>
      </c>
      <c r="AM294" s="32" t="str">
        <f t="shared" si="272"/>
        <v>1-0,0935624291285482i</v>
      </c>
      <c r="AN294" s="32">
        <f t="shared" si="293"/>
        <v>1.00436742686351</v>
      </c>
      <c r="AO294" s="32">
        <f t="shared" si="294"/>
        <v>-0.0932908412570053</v>
      </c>
      <c r="AP294" s="30" t="str">
        <f t="shared" si="295"/>
        <v>5,44812753670902-11,1255928155191i</v>
      </c>
      <c r="AQ294" s="32">
        <f t="shared" si="296"/>
        <v>21.8599776677591</v>
      </c>
      <c r="AR294" s="31">
        <f t="shared" si="297"/>
        <v>-63.9093210350926</v>
      </c>
      <c r="AS294" t="str">
        <f t="shared" si="273"/>
        <v>-0,000100699300699301</v>
      </c>
      <c r="AT294" t="str">
        <f t="shared" si="274"/>
        <v>0,0081242436714643i</v>
      </c>
      <c r="AU294">
        <f t="shared" si="298"/>
        <v>0.0081242436714643</v>
      </c>
      <c r="AV294">
        <f t="shared" si="299"/>
        <v>1.5707963267949</v>
      </c>
      <c r="AW294" t="str">
        <f t="shared" si="275"/>
        <v>1+0,415946374639761i</v>
      </c>
      <c r="AX294">
        <f t="shared" si="300"/>
        <v>1.08305650202377</v>
      </c>
      <c r="AY294">
        <f t="shared" si="301"/>
        <v>0.394177222836179</v>
      </c>
      <c r="AZ294" t="str">
        <f t="shared" si="276"/>
        <v>1+19,8857766769264i</v>
      </c>
      <c r="BA294">
        <f t="shared" si="302"/>
        <v>19.9109044004684</v>
      </c>
      <c r="BB294">
        <f t="shared" si="303"/>
        <v>1.52055145284389</v>
      </c>
      <c r="BC294" s="30" t="str">
        <f t="shared" si="304"/>
        <v>-0,205732759920254+0,0979687095197845i</v>
      </c>
      <c r="BD294" s="32">
        <f t="shared" si="305"/>
        <v>-12.8463322586357</v>
      </c>
      <c r="BE294" s="31">
        <f t="shared" si="306"/>
        <v>154.53648953174</v>
      </c>
      <c r="BF294" s="30" t="str">
        <f t="shared" si="307"/>
        <v>0,293259764425747+0,293655480013951i</v>
      </c>
      <c r="BG294" s="68">
        <f t="shared" si="308"/>
        <v>-7.63879018333527</v>
      </c>
      <c r="BH294" s="31">
        <f t="shared" si="309"/>
        <v>45.0386305005209</v>
      </c>
      <c r="BI294" s="30" t="str">
        <f t="shared" si="263"/>
        <v>-0,0308983437456896+2,82264493975628i</v>
      </c>
      <c r="BJ294" s="68">
        <f t="shared" si="310"/>
        <v>9.01364540912337</v>
      </c>
      <c r="BK294" s="31">
        <f t="shared" si="264"/>
        <v>90.6271684966471</v>
      </c>
      <c r="BL294" s="32">
        <f t="shared" si="311"/>
        <v>-7.63879018333527</v>
      </c>
      <c r="BM294" s="31">
        <f t="shared" si="312"/>
        <v>45.0386305005209</v>
      </c>
      <c r="BO294">
        <f t="shared" si="313"/>
        <v>0</v>
      </c>
      <c r="BP294">
        <f t="shared" si="314"/>
        <v>0</v>
      </c>
    </row>
    <row r="295" spans="14:68">
      <c r="N295" s="7">
        <v>77</v>
      </c>
      <c r="O295" s="18">
        <f t="shared" si="315"/>
        <v>5888.4365535559</v>
      </c>
      <c r="P295" s="86" t="str">
        <f t="shared" si="265"/>
        <v>60</v>
      </c>
      <c r="Q295" s="4" t="str">
        <f t="shared" si="266"/>
        <v>1+48,3442336998005i</v>
      </c>
      <c r="R295" s="4">
        <f t="shared" si="277"/>
        <v>48.3545750888262</v>
      </c>
      <c r="S295" s="4">
        <f t="shared" si="278"/>
        <v>1.55011428599822</v>
      </c>
      <c r="T295" s="4" t="str">
        <f t="shared" si="267"/>
        <v>1+0,580130804397606i</v>
      </c>
      <c r="U295" s="4">
        <f t="shared" si="279"/>
        <v>1.15609331379911</v>
      </c>
      <c r="V295" s="4">
        <f t="shared" si="280"/>
        <v>0.525681666173527</v>
      </c>
      <c r="W295" t="str">
        <f t="shared" si="268"/>
        <v>1-0,80933426952791i</v>
      </c>
      <c r="X295" s="4">
        <f t="shared" si="281"/>
        <v>1.28647656792974</v>
      </c>
      <c r="Y295" s="4">
        <f t="shared" si="282"/>
        <v>-0.680406711124099</v>
      </c>
      <c r="Z295" t="str">
        <f t="shared" si="269"/>
        <v>0,999716949509835+0,215948315881033i</v>
      </c>
      <c r="AA295" s="4">
        <f t="shared" si="283"/>
        <v>1.02277448847197</v>
      </c>
      <c r="AB295" s="4">
        <f t="shared" si="284"/>
        <v>0.212740816559545</v>
      </c>
      <c r="AC295" s="67" t="str">
        <f t="shared" si="285"/>
        <v>-0,613264165777097-1,69696865209539i</v>
      </c>
      <c r="AD295" s="68">
        <f t="shared" si="286"/>
        <v>5.12657124337859</v>
      </c>
      <c r="AE295" s="31">
        <f t="shared" si="287"/>
        <v>-109.869249330301</v>
      </c>
      <c r="AF295" s="32" t="str">
        <f t="shared" si="288"/>
        <v>326,048966736478</v>
      </c>
      <c r="AG295" s="32" t="str">
        <f t="shared" si="270"/>
        <v>1+31,0784359498718i</v>
      </c>
      <c r="AH295" s="32">
        <f t="shared" si="289"/>
        <v>31.094520113523</v>
      </c>
      <c r="AI295" s="32">
        <f t="shared" si="290"/>
        <v>1.5386307730476</v>
      </c>
      <c r="AJ295" s="32" t="str">
        <f t="shared" si="271"/>
        <v>1+0,580130804397606i</v>
      </c>
      <c r="AK295" s="32">
        <f t="shared" si="291"/>
        <v>1.15609331379911</v>
      </c>
      <c r="AL295" s="32">
        <f t="shared" si="292"/>
        <v>0.525681666173527</v>
      </c>
      <c r="AM295" s="32" t="str">
        <f t="shared" si="272"/>
        <v>1-0,095741778068008i</v>
      </c>
      <c r="AN295" s="32">
        <f t="shared" si="293"/>
        <v>1.00457278883495</v>
      </c>
      <c r="AO295" s="32">
        <f t="shared" si="294"/>
        <v>-0.0954508379170872</v>
      </c>
      <c r="AP295" s="30" t="str">
        <f t="shared" si="295"/>
        <v>5,43250034292634-10,899072422039i</v>
      </c>
      <c r="AQ295" s="32">
        <f t="shared" si="296"/>
        <v>21.7114653834552</v>
      </c>
      <c r="AR295" s="31">
        <f t="shared" si="297"/>
        <v>-63.5066388490673</v>
      </c>
      <c r="AS295" t="str">
        <f t="shared" si="273"/>
        <v>-0,000100699300699301</v>
      </c>
      <c r="AT295" t="str">
        <f t="shared" si="274"/>
        <v>0,0083134816165907i</v>
      </c>
      <c r="AU295">
        <f t="shared" si="298"/>
        <v>0.0083134816165907</v>
      </c>
      <c r="AV295">
        <f t="shared" si="299"/>
        <v>1.5707963267949</v>
      </c>
      <c r="AW295" t="str">
        <f t="shared" si="275"/>
        <v>1+0,425635010333452i</v>
      </c>
      <c r="AX295">
        <f t="shared" si="300"/>
        <v>1.08681422608538</v>
      </c>
      <c r="AY295">
        <f t="shared" si="301"/>
        <v>0.402408383934472</v>
      </c>
      <c r="AZ295" t="str">
        <f t="shared" si="276"/>
        <v>1+20,3489759195589i</v>
      </c>
      <c r="BA295">
        <f t="shared" si="302"/>
        <v>20.3735323637014</v>
      </c>
      <c r="BB295">
        <f t="shared" si="303"/>
        <v>1.52169330694041</v>
      </c>
      <c r="BC295" s="30" t="str">
        <f t="shared" si="304"/>
        <v>-0,204312553178529+0,0990753468836541i</v>
      </c>
      <c r="BD295" s="32">
        <f t="shared" si="305"/>
        <v>-12.8769093440005</v>
      </c>
      <c r="BE295" s="31">
        <f t="shared" si="306"/>
        <v>154.130302160865</v>
      </c>
      <c r="BF295" s="30" t="str">
        <f t="shared" si="307"/>
        <v>0,293425325339857+0,285952638017855i</v>
      </c>
      <c r="BG295" s="68">
        <f t="shared" si="308"/>
        <v>-7.75033810062191</v>
      </c>
      <c r="BH295" s="31">
        <f t="shared" si="309"/>
        <v>44.2610528305638</v>
      </c>
      <c r="BI295" s="30" t="str">
        <f t="shared" si="263"/>
        <v>-0,030098634282933+2,76504416974548i</v>
      </c>
      <c r="BJ295" s="68">
        <f t="shared" si="310"/>
        <v>8.83455603945475</v>
      </c>
      <c r="BK295" s="31">
        <f t="shared" si="264"/>
        <v>90.623663311798</v>
      </c>
      <c r="BL295" s="32">
        <f t="shared" si="311"/>
        <v>-7.75033810062191</v>
      </c>
      <c r="BM295" s="31">
        <f t="shared" si="312"/>
        <v>44.2610528305638</v>
      </c>
      <c r="BO295">
        <f t="shared" si="313"/>
        <v>0</v>
      </c>
      <c r="BP295">
        <f t="shared" si="314"/>
        <v>0</v>
      </c>
    </row>
    <row r="296" spans="14:68">
      <c r="N296" s="7">
        <v>78</v>
      </c>
      <c r="O296" s="18">
        <f t="shared" si="315"/>
        <v>6025.59586074359</v>
      </c>
      <c r="P296" s="86" t="str">
        <f t="shared" si="265"/>
        <v>60</v>
      </c>
      <c r="Q296" s="4" t="str">
        <f t="shared" si="266"/>
        <v>1+49,470315562189i</v>
      </c>
      <c r="R296" s="4">
        <f t="shared" si="277"/>
        <v>49.4804216010996</v>
      </c>
      <c r="S296" s="4">
        <f t="shared" si="278"/>
        <v>1.55058493703176</v>
      </c>
      <c r="T296" s="4" t="str">
        <f t="shared" si="267"/>
        <v>1+0,593643786746269i</v>
      </c>
      <c r="U296" s="4">
        <f t="shared" si="279"/>
        <v>1.16293290672439</v>
      </c>
      <c r="V296" s="4">
        <f t="shared" si="280"/>
        <v>0.535732705510616</v>
      </c>
      <c r="W296" t="str">
        <f t="shared" si="268"/>
        <v>1-0,828186086420576i</v>
      </c>
      <c r="X296" s="4">
        <f t="shared" si="281"/>
        <v>1.29841911328378</v>
      </c>
      <c r="Y296" s="4">
        <f t="shared" si="282"/>
        <v>-0.691692856823583</v>
      </c>
      <c r="Z296" t="str">
        <f t="shared" si="269"/>
        <v>0,999703609751208+0,220978398335893i</v>
      </c>
      <c r="AA296" s="4">
        <f t="shared" si="283"/>
        <v>1.02383531873085</v>
      </c>
      <c r="AB296" s="4">
        <f t="shared" si="284"/>
        <v>0.217545807287747</v>
      </c>
      <c r="AC296" s="67" t="str">
        <f t="shared" si="285"/>
        <v>-0,618759419519256-1,67791629303776i</v>
      </c>
      <c r="AD296" s="68">
        <f t="shared" si="286"/>
        <v>5.04914622723062</v>
      </c>
      <c r="AE296" s="31">
        <f t="shared" si="287"/>
        <v>-110.242287719287</v>
      </c>
      <c r="AF296" s="32" t="str">
        <f t="shared" si="288"/>
        <v>326,048966736478</v>
      </c>
      <c r="AG296" s="32" t="str">
        <f t="shared" si="270"/>
        <v>1+31,8023457185501i</v>
      </c>
      <c r="AH296" s="32">
        <f t="shared" si="289"/>
        <v>31.8180639449069</v>
      </c>
      <c r="AI296" s="32">
        <f t="shared" si="290"/>
        <v>1.539362462622</v>
      </c>
      <c r="AJ296" s="32" t="str">
        <f t="shared" si="271"/>
        <v>1+0,593643786746269i</v>
      </c>
      <c r="AK296" s="32">
        <f t="shared" si="291"/>
        <v>1.16293290672439</v>
      </c>
      <c r="AL296" s="32">
        <f t="shared" si="292"/>
        <v>0.535732705510616</v>
      </c>
      <c r="AM296" s="32" t="str">
        <f t="shared" si="272"/>
        <v>1-0,097971890565492i</v>
      </c>
      <c r="AN296" s="32">
        <f t="shared" si="293"/>
        <v>1.00478778423156</v>
      </c>
      <c r="AO296" s="32">
        <f t="shared" si="294"/>
        <v>-0.0976602227495295</v>
      </c>
      <c r="AP296" s="30" t="str">
        <f t="shared" si="295"/>
        <v>5,41757506651705-10,6782856315192i</v>
      </c>
      <c r="AQ296" s="32">
        <f t="shared" si="296"/>
        <v>21.5647616806808</v>
      </c>
      <c r="AR296" s="31">
        <f t="shared" si="297"/>
        <v>-63.0992678660778</v>
      </c>
      <c r="AS296" t="str">
        <f t="shared" si="273"/>
        <v>-0,000100699300699301</v>
      </c>
      <c r="AT296" t="str">
        <f t="shared" si="274"/>
        <v>0,00850712747971214i</v>
      </c>
      <c r="AU296">
        <f t="shared" si="298"/>
        <v>0.00850712747971214</v>
      </c>
      <c r="AV296">
        <f t="shared" si="299"/>
        <v>1.5707963267949</v>
      </c>
      <c r="AW296" t="str">
        <f t="shared" si="275"/>
        <v>1+0,435549323343569i</v>
      </c>
      <c r="AX296">
        <f t="shared" si="300"/>
        <v>1.09073517091228</v>
      </c>
      <c r="AY296">
        <f t="shared" si="301"/>
        <v>0.410771980150394</v>
      </c>
      <c r="AZ296" t="str">
        <f t="shared" si="276"/>
        <v>1+20,8229644585744i</v>
      </c>
      <c r="BA296">
        <f t="shared" si="302"/>
        <v>20.8469625807467</v>
      </c>
      <c r="BB296">
        <f t="shared" si="303"/>
        <v>1.52280929310474</v>
      </c>
      <c r="BC296" s="30" t="str">
        <f t="shared" si="304"/>
        <v>-0,202846279078649+0,100186610461278i</v>
      </c>
      <c r="BD296" s="32">
        <f t="shared" si="305"/>
        <v>-12.9086603306671</v>
      </c>
      <c r="BE296" s="31">
        <f t="shared" si="306"/>
        <v>153.715044693353</v>
      </c>
      <c r="BF296" s="30" t="str">
        <f t="shared" si="307"/>
        <v>0,293617791931551+0,278367667715528i</v>
      </c>
      <c r="BG296" s="68">
        <f t="shared" si="308"/>
        <v>-7.85951410343652</v>
      </c>
      <c r="BH296" s="31">
        <f t="shared" si="309"/>
        <v>43.4727569740655</v>
      </c>
      <c r="BI296" s="30" t="str">
        <f t="shared" si="263"/>
        <v>-0,0291137009129721+2,70881899012655i</v>
      </c>
      <c r="BJ296" s="68">
        <f t="shared" si="310"/>
        <v>8.65610135001369</v>
      </c>
      <c r="BK296" s="31">
        <f t="shared" si="264"/>
        <v>90.6157768272748</v>
      </c>
      <c r="BL296" s="32">
        <f t="shared" si="311"/>
        <v>-7.85951410343652</v>
      </c>
      <c r="BM296" s="31">
        <f t="shared" si="312"/>
        <v>43.4727569740655</v>
      </c>
      <c r="BO296">
        <f t="shared" si="313"/>
        <v>0</v>
      </c>
      <c r="BP296">
        <f t="shared" si="314"/>
        <v>0</v>
      </c>
    </row>
    <row r="297" spans="14:68">
      <c r="N297" s="7">
        <v>79</v>
      </c>
      <c r="O297" s="18">
        <f t="shared" si="315"/>
        <v>6165.95001861483</v>
      </c>
      <c r="P297" s="86" t="str">
        <f t="shared" si="265"/>
        <v>60</v>
      </c>
      <c r="Q297" s="4" t="str">
        <f t="shared" si="266"/>
        <v>1+50,6226272407055i</v>
      </c>
      <c r="R297" s="4">
        <f t="shared" si="277"/>
        <v>50.6325032834781</v>
      </c>
      <c r="S297" s="4">
        <f t="shared" si="278"/>
        <v>1.55104488339342</v>
      </c>
      <c r="T297" s="4" t="str">
        <f t="shared" si="267"/>
        <v>1+0,607471526888466i</v>
      </c>
      <c r="U297" s="4">
        <f t="shared" si="279"/>
        <v>1.17005198858008</v>
      </c>
      <c r="V297" s="4">
        <f t="shared" si="280"/>
        <v>0.545895165907186</v>
      </c>
      <c r="W297" t="str">
        <f t="shared" si="268"/>
        <v>1-0,847477018538597i</v>
      </c>
      <c r="X297" s="4">
        <f t="shared" si="281"/>
        <v>1.31080787949687</v>
      </c>
      <c r="Y297" s="4">
        <f t="shared" si="282"/>
        <v>-0.703027518692273</v>
      </c>
      <c r="Z297" t="str">
        <f t="shared" si="269"/>
        <v>0,999689641309126+0,226125646462544i</v>
      </c>
      <c r="AA297" s="4">
        <f t="shared" si="283"/>
        <v>1.02494496775626</v>
      </c>
      <c r="AB297" s="4">
        <f t="shared" si="284"/>
        <v>0.22245237606783</v>
      </c>
      <c r="AC297" s="67" t="str">
        <f t="shared" si="285"/>
        <v>-0,624387183305415-1,65966610642861i</v>
      </c>
      <c r="AD297" s="68">
        <f t="shared" si="286"/>
        <v>4.97531011471847</v>
      </c>
      <c r="AE297" s="31">
        <f t="shared" si="287"/>
        <v>-110.616928584694</v>
      </c>
      <c r="AF297" s="32" t="str">
        <f t="shared" si="288"/>
        <v>326,048966736478</v>
      </c>
      <c r="AG297" s="32" t="str">
        <f t="shared" si="270"/>
        <v>1+32,5431175118821i</v>
      </c>
      <c r="AH297" s="32">
        <f t="shared" si="289"/>
        <v>32.5584781184896</v>
      </c>
      <c r="AI297" s="32">
        <f t="shared" si="290"/>
        <v>1.5400775294432</v>
      </c>
      <c r="AJ297" s="32" t="str">
        <f t="shared" si="271"/>
        <v>1+0,607471526888466i</v>
      </c>
      <c r="AK297" s="32">
        <f t="shared" si="291"/>
        <v>1.17005198858008</v>
      </c>
      <c r="AL297" s="32">
        <f t="shared" si="292"/>
        <v>0.545895165907186</v>
      </c>
      <c r="AM297" s="32" t="str">
        <f t="shared" si="272"/>
        <v>1-0,100253949056165i</v>
      </c>
      <c r="AN297" s="32">
        <f t="shared" si="293"/>
        <v>1.00501286275418</v>
      </c>
      <c r="AO297" s="32">
        <f t="shared" si="294"/>
        <v>-0.0999200808731558</v>
      </c>
      <c r="AP297" s="30" t="str">
        <f t="shared" si="295"/>
        <v>5,40332024095278-10,4631183928565i</v>
      </c>
      <c r="AQ297" s="32">
        <f t="shared" si="296"/>
        <v>21.419910219953</v>
      </c>
      <c r="AR297" s="31">
        <f t="shared" si="297"/>
        <v>-62.6874524195924</v>
      </c>
      <c r="AS297" t="str">
        <f t="shared" si="273"/>
        <v>-0,000100699300699301</v>
      </c>
      <c r="AT297" t="str">
        <f t="shared" si="274"/>
        <v>0,00870528393442846i</v>
      </c>
      <c r="AU297">
        <f t="shared" si="298"/>
        <v>0.00870528393442846</v>
      </c>
      <c r="AV297">
        <f t="shared" si="299"/>
        <v>1.5707963267949</v>
      </c>
      <c r="AW297" t="str">
        <f t="shared" si="275"/>
        <v>1+0,445694570370098i</v>
      </c>
      <c r="AX297">
        <f t="shared" si="300"/>
        <v>1.09482585375821</v>
      </c>
      <c r="AY297">
        <f t="shared" si="301"/>
        <v>0.419267764671181</v>
      </c>
      <c r="AZ297" t="str">
        <f t="shared" si="276"/>
        <v>1+21,3079936089704i</v>
      </c>
      <c r="BA297">
        <f t="shared" si="302"/>
        <v>21.331446074749</v>
      </c>
      <c r="BB297">
        <f t="shared" si="303"/>
        <v>1.52389999192217</v>
      </c>
      <c r="BC297" s="30" t="str">
        <f t="shared" si="304"/>
        <v>-0,201333290312431+0,101300761019417i</v>
      </c>
      <c r="BD297" s="32">
        <f t="shared" si="305"/>
        <v>-12.9416246610813</v>
      </c>
      <c r="BE297" s="31">
        <f t="shared" si="306"/>
        <v>153.290764535618</v>
      </c>
      <c r="BF297" s="30" t="str">
        <f t="shared" si="307"/>
        <v>0,293835365663141+0,270895141187685i</v>
      </c>
      <c r="BG297" s="68">
        <f t="shared" si="308"/>
        <v>-7.96631454636282</v>
      </c>
      <c r="BH297" s="31">
        <f t="shared" si="309"/>
        <v>42.673835950924</v>
      </c>
      <c r="BI297" s="30" t="str">
        <f t="shared" si="263"/>
        <v>-0,0279463868901579+2,65393450540245i</v>
      </c>
      <c r="BJ297" s="68">
        <f t="shared" si="310"/>
        <v>8.47828555887171</v>
      </c>
      <c r="BK297" s="31">
        <f t="shared" si="264"/>
        <v>90.6033121160252</v>
      </c>
      <c r="BL297" s="32">
        <f t="shared" si="311"/>
        <v>-7.96631454636282</v>
      </c>
      <c r="BM297" s="31">
        <f t="shared" si="312"/>
        <v>42.673835950924</v>
      </c>
      <c r="BO297">
        <f t="shared" si="313"/>
        <v>0</v>
      </c>
      <c r="BP297">
        <f t="shared" si="314"/>
        <v>0</v>
      </c>
    </row>
    <row r="298" spans="14:68">
      <c r="N298" s="7">
        <v>80</v>
      </c>
      <c r="O298" s="18">
        <f t="shared" si="315"/>
        <v>6309.57344480194</v>
      </c>
      <c r="P298" s="86" t="str">
        <f t="shared" si="265"/>
        <v>60</v>
      </c>
      <c r="Q298" s="4" t="str">
        <f t="shared" si="266"/>
        <v>1+51,8017797062546i</v>
      </c>
      <c r="R298" s="4">
        <f t="shared" si="277"/>
        <v>51.8114309852115</v>
      </c>
      <c r="S298" s="4">
        <f t="shared" si="278"/>
        <v>1.55149436817398</v>
      </c>
      <c r="T298" s="4" t="str">
        <f t="shared" si="267"/>
        <v>1+0,621621356475056i</v>
      </c>
      <c r="U298" s="4">
        <f t="shared" si="279"/>
        <v>1.17746044979264</v>
      </c>
      <c r="V298" s="4">
        <f t="shared" si="280"/>
        <v>0.55616603887404</v>
      </c>
      <c r="W298" t="str">
        <f t="shared" si="268"/>
        <v>1-0,867217294189532i</v>
      </c>
      <c r="X298" s="4">
        <f t="shared" si="281"/>
        <v>1.32365623760152</v>
      </c>
      <c r="Y298" s="4">
        <f t="shared" si="282"/>
        <v>-0.714405057584485</v>
      </c>
      <c r="Z298" t="str">
        <f t="shared" si="269"/>
        <v>0,99967501455465+0,231392789400076i</v>
      </c>
      <c r="AA298" s="4">
        <f t="shared" si="283"/>
        <v>1.0261056269757</v>
      </c>
      <c r="AB298" s="4">
        <f t="shared" si="284"/>
        <v>0.22746219706869</v>
      </c>
      <c r="AC298" s="67" t="str">
        <f t="shared" si="285"/>
        <v>-0,630156810732779-1,64220304501105i</v>
      </c>
      <c r="AD298" s="68">
        <f t="shared" si="286"/>
        <v>4.90510265612722</v>
      </c>
      <c r="AE298" s="31">
        <f t="shared" si="287"/>
        <v>-110.993131051895</v>
      </c>
      <c r="AF298" s="32" t="str">
        <f t="shared" si="288"/>
        <v>326,048966736478</v>
      </c>
      <c r="AG298" s="32" t="str">
        <f t="shared" si="270"/>
        <v>1+33,301144096878i</v>
      </c>
      <c r="AH298" s="32">
        <f t="shared" si="289"/>
        <v>33.3161552127648</v>
      </c>
      <c r="AI298" s="32">
        <f t="shared" si="290"/>
        <v>1.54077634972241</v>
      </c>
      <c r="AJ298" s="32" t="str">
        <f t="shared" si="271"/>
        <v>1+0,621621356475056i</v>
      </c>
      <c r="AK298" s="32">
        <f t="shared" si="291"/>
        <v>1.17746044979264</v>
      </c>
      <c r="AL298" s="32">
        <f t="shared" si="292"/>
        <v>0.55616603887404</v>
      </c>
      <c r="AM298" s="32" t="str">
        <f t="shared" si="272"/>
        <v>1-0,102589163517645i</v>
      </c>
      <c r="AN298" s="32">
        <f t="shared" si="293"/>
        <v>1.00524849488634</v>
      </c>
      <c r="AO298" s="32">
        <f t="shared" si="294"/>
        <v>-0.102231518115955</v>
      </c>
      <c r="AP298" s="30" t="str">
        <f t="shared" si="295"/>
        <v>5,38970580496075-10,2534594340457i</v>
      </c>
      <c r="AQ298" s="32">
        <f t="shared" si="296"/>
        <v>21.2769542283984</v>
      </c>
      <c r="AR298" s="31">
        <f t="shared" si="297"/>
        <v>-62.2714497979348</v>
      </c>
      <c r="AS298" t="str">
        <f t="shared" si="273"/>
        <v>-0,000100699300699301</v>
      </c>
      <c r="AT298" t="str">
        <f t="shared" si="274"/>
        <v>0,00890805604591487i</v>
      </c>
      <c r="AU298">
        <f t="shared" si="298"/>
        <v>0.00890805604591487</v>
      </c>
      <c r="AV298">
        <f t="shared" si="299"/>
        <v>1.5707963267949</v>
      </c>
      <c r="AW298" t="str">
        <f t="shared" si="275"/>
        <v>1+0,456076130557302i</v>
      </c>
      <c r="AX298">
        <f t="shared" si="300"/>
        <v>1.09909300646675</v>
      </c>
      <c r="AY298">
        <f t="shared" si="301"/>
        <v>0.427895335333278</v>
      </c>
      <c r="AZ298" t="str">
        <f t="shared" si="276"/>
        <v>1+21,8043205396225i</v>
      </c>
      <c r="BA298">
        <f t="shared" si="302"/>
        <v>21.8272397291688</v>
      </c>
      <c r="BB298">
        <f t="shared" si="303"/>
        <v>1.52496597130959</v>
      </c>
      <c r="BC298" s="30" t="str">
        <f t="shared" si="304"/>
        <v>-0,199772999867137+0,102415992586437i</v>
      </c>
      <c r="BD298" s="32">
        <f t="shared" si="305"/>
        <v>-12.9758422453224</v>
      </c>
      <c r="BE298" s="31">
        <f t="shared" si="306"/>
        <v>152.857517269176</v>
      </c>
      <c r="BF298" s="30" t="str">
        <f t="shared" si="307"/>
        <v>0,294076171350071+0,263529693436503i</v>
      </c>
      <c r="BG298" s="68">
        <f t="shared" si="308"/>
        <v>-8.07073958919517</v>
      </c>
      <c r="BH298" s="31">
        <f t="shared" si="309"/>
        <v>41.8643862172813</v>
      </c>
      <c r="BI298" s="30" t="str">
        <f t="shared" si="263"/>
        <v>-0,0265994716757745+2,60035641991924i</v>
      </c>
      <c r="BJ298" s="68">
        <f t="shared" si="310"/>
        <v>8.30111198307604</v>
      </c>
      <c r="BK298" s="31">
        <f t="shared" si="264"/>
        <v>90.5860674712412</v>
      </c>
      <c r="BL298" s="32">
        <f t="shared" si="311"/>
        <v>-8.07073958919517</v>
      </c>
      <c r="BM298" s="31">
        <f t="shared" si="312"/>
        <v>41.8643862172813</v>
      </c>
      <c r="BO298">
        <f t="shared" si="313"/>
        <v>0</v>
      </c>
      <c r="BP298">
        <f t="shared" si="314"/>
        <v>0</v>
      </c>
    </row>
    <row r="299" spans="14:68">
      <c r="N299" s="7">
        <v>81</v>
      </c>
      <c r="O299" s="18">
        <f t="shared" si="315"/>
        <v>6456.54229034656</v>
      </c>
      <c r="P299" s="86" t="str">
        <f t="shared" si="265"/>
        <v>60</v>
      </c>
      <c r="Q299" s="4" t="str">
        <f t="shared" si="266"/>
        <v>1+53,0083981610817i</v>
      </c>
      <c r="R299" s="4">
        <f t="shared" si="277"/>
        <v>53.017829789645</v>
      </c>
      <c r="S299" s="4">
        <f t="shared" si="278"/>
        <v>1.55193362896932</v>
      </c>
      <c r="T299" s="4" t="str">
        <f t="shared" si="267"/>
        <v>1+0,636100777932981i</v>
      </c>
      <c r="U299" s="4">
        <f t="shared" si="279"/>
        <v>1.18516842671704</v>
      </c>
      <c r="V299" s="4">
        <f t="shared" si="280"/>
        <v>0.56654210189423</v>
      </c>
      <c r="W299" t="str">
        <f t="shared" si="268"/>
        <v>1-0,887417379928824i</v>
      </c>
      <c r="X299" s="4">
        <f t="shared" si="281"/>
        <v>1.33697778822228</v>
      </c>
      <c r="Y299" s="4">
        <f t="shared" si="282"/>
        <v>-0.725819724447553</v>
      </c>
      <c r="Z299" t="str">
        <f t="shared" si="269"/>
        <v>0,999659698462473+0,236782619857394i</v>
      </c>
      <c r="AA299" s="4">
        <f t="shared" si="283"/>
        <v>1.02731958114144</v>
      </c>
      <c r="AB299" s="4">
        <f t="shared" si="284"/>
        <v>0.23257693946622</v>
      </c>
      <c r="AC299" s="67" t="str">
        <f t="shared" si="285"/>
        <v>-0,636077733043432-1,62551214169685i</v>
      </c>
      <c r="AD299" s="68">
        <f t="shared" si="286"/>
        <v>4.83856006490413</v>
      </c>
      <c r="AE299" s="31">
        <f t="shared" si="287"/>
        <v>-111.370859611031</v>
      </c>
      <c r="AF299" s="32" t="str">
        <f t="shared" si="288"/>
        <v>326,048966736478</v>
      </c>
      <c r="AG299" s="32" t="str">
        <f t="shared" si="270"/>
        <v>1+34,0768273892669i</v>
      </c>
      <c r="AH299" s="32">
        <f t="shared" si="289"/>
        <v>34.0914969591816</v>
      </c>
      <c r="AI299" s="32">
        <f t="shared" si="290"/>
        <v>1.54145929125166</v>
      </c>
      <c r="AJ299" s="32" t="str">
        <f t="shared" si="271"/>
        <v>1+0,636100777932981i</v>
      </c>
      <c r="AK299" s="32">
        <f t="shared" si="291"/>
        <v>1.18516842671704</v>
      </c>
      <c r="AL299" s="32">
        <f t="shared" si="292"/>
        <v>0.56654210189423</v>
      </c>
      <c r="AM299" s="32" t="str">
        <f t="shared" si="272"/>
        <v>1-0,10497877211155i</v>
      </c>
      <c r="AN299" s="32">
        <f t="shared" si="293"/>
        <v>1.00549517283478</v>
      </c>
      <c r="AO299" s="32">
        <f t="shared" si="294"/>
        <v>-0.104595661183128</v>
      </c>
      <c r="AP299" s="30" t="str">
        <f t="shared" si="295"/>
        <v>5,37670304023914-10,0492002164926i</v>
      </c>
      <c r="AQ299" s="32">
        <f t="shared" si="296"/>
        <v>21.1359363981004</v>
      </c>
      <c r="AR299" s="31">
        <f t="shared" si="297"/>
        <v>-61.8515302661107</v>
      </c>
      <c r="AS299" t="str">
        <f t="shared" si="273"/>
        <v>-0,000100699300699301</v>
      </c>
      <c r="AT299" t="str">
        <f t="shared" si="274"/>
        <v>0,00911555132662889i</v>
      </c>
      <c r="AU299">
        <f t="shared" si="298"/>
        <v>0.00911555132662889</v>
      </c>
      <c r="AV299">
        <f t="shared" si="299"/>
        <v>1.5707963267949</v>
      </c>
      <c r="AW299" t="str">
        <f t="shared" si="275"/>
        <v>1+0,466699508345809i</v>
      </c>
      <c r="AX299">
        <f t="shared" si="300"/>
        <v>1.10354357915318</v>
      </c>
      <c r="AY299">
        <f t="shared" si="301"/>
        <v>0.436654128006274</v>
      </c>
      <c r="AZ299" t="str">
        <f t="shared" si="276"/>
        <v>1+22,312208409639i</v>
      </c>
      <c r="BA299">
        <f t="shared" si="302"/>
        <v>22.3346064240041</v>
      </c>
      <c r="BB299">
        <f t="shared" si="303"/>
        <v>1.52600778676759</v>
      </c>
      <c r="BC299" s="30" t="str">
        <f t="shared" si="304"/>
        <v>-0,198164886871503+0,103530433903605i</v>
      </c>
      <c r="BD299" s="32">
        <f t="shared" si="305"/>
        <v>-13.0113534106745</v>
      </c>
      <c r="BE299" s="31">
        <f t="shared" si="306"/>
        <v>152.415367044158</v>
      </c>
      <c r="BF299" s="30" t="str">
        <f t="shared" si="307"/>
        <v>0,294338249355487+0,256266025969203i</v>
      </c>
      <c r="BG299" s="68">
        <f t="shared" si="308"/>
        <v>-8.1727933457704</v>
      </c>
      <c r="BH299" s="31">
        <f t="shared" si="309"/>
        <v>41.0445074331267</v>
      </c>
      <c r="BI299" s="30" t="str">
        <f t="shared" si="263"/>
        <v>-0,0250756909129752+2,54805102277713i</v>
      </c>
      <c r="BJ299" s="68">
        <f t="shared" si="310"/>
        <v>8.12458298742589</v>
      </c>
      <c r="BK299" s="31">
        <f t="shared" si="264"/>
        <v>90.5638367780471</v>
      </c>
      <c r="BL299" s="32">
        <f t="shared" si="311"/>
        <v>-8.1727933457704</v>
      </c>
      <c r="BM299" s="31">
        <f t="shared" si="312"/>
        <v>41.0445074331267</v>
      </c>
      <c r="BO299">
        <f t="shared" si="313"/>
        <v>0</v>
      </c>
      <c r="BP299">
        <f t="shared" si="314"/>
        <v>0</v>
      </c>
    </row>
    <row r="300" spans="14:68">
      <c r="N300" s="7">
        <v>82</v>
      </c>
      <c r="O300" s="18">
        <f t="shared" si="315"/>
        <v>6606.93448007597</v>
      </c>
      <c r="P300" s="86" t="str">
        <f t="shared" si="265"/>
        <v>60</v>
      </c>
      <c r="Q300" s="4" t="str">
        <f t="shared" si="266"/>
        <v>1+54,243122370263i</v>
      </c>
      <c r="R300" s="4">
        <f t="shared" si="277"/>
        <v>54.2523393456478</v>
      </c>
      <c r="S300" s="4">
        <f t="shared" si="278"/>
        <v>1.55236289800289</v>
      </c>
      <c r="T300" s="4" t="str">
        <f t="shared" si="267"/>
        <v>1+0,650917468443157i</v>
      </c>
      <c r="U300" s="4">
        <f t="shared" si="279"/>
        <v>1.19318630176702</v>
      </c>
      <c r="V300" s="4">
        <f t="shared" si="280"/>
        <v>0.577019919253472</v>
      </c>
      <c r="W300" t="str">
        <f t="shared" si="268"/>
        <v>1-0,908087986109314i</v>
      </c>
      <c r="X300" s="4">
        <f t="shared" si="281"/>
        <v>1.35078636005701</v>
      </c>
      <c r="Y300" s="4">
        <f t="shared" si="282"/>
        <v>-0.737265674248733</v>
      </c>
      <c r="Z300" t="str">
        <f t="shared" si="269"/>
        <v>0,99964366054511+0,242297995593949i</v>
      </c>
      <c r="AA300" s="4">
        <f t="shared" si="283"/>
        <v>1.0285892118513</v>
      </c>
      <c r="AB300" s="4">
        <f t="shared" si="284"/>
        <v>0.237798264792682</v>
      </c>
      <c r="AC300" s="67" t="str">
        <f t="shared" si="285"/>
        <v>-0,642159460871478-1,60957848597891i</v>
      </c>
      <c r="AD300" s="68">
        <f t="shared" si="286"/>
        <v>4.77571482463413</v>
      </c>
      <c r="AE300" s="31">
        <f t="shared" si="287"/>
        <v>-111.750084722534</v>
      </c>
      <c r="AF300" s="32" t="str">
        <f t="shared" si="288"/>
        <v>326,048966736478</v>
      </c>
      <c r="AG300" s="32" t="str">
        <f t="shared" si="270"/>
        <v>1+34,8705786665977i</v>
      </c>
      <c r="AH300" s="32">
        <f t="shared" si="289"/>
        <v>34.8849144551535</v>
      </c>
      <c r="AI300" s="32">
        <f t="shared" si="290"/>
        <v>1.54212671358591</v>
      </c>
      <c r="AJ300" s="32" t="str">
        <f t="shared" si="271"/>
        <v>1+0,650917468443157i</v>
      </c>
      <c r="AK300" s="32">
        <f t="shared" si="291"/>
        <v>1.19318630176702</v>
      </c>
      <c r="AL300" s="32">
        <f t="shared" si="292"/>
        <v>0.577019919253472</v>
      </c>
      <c r="AM300" s="32" t="str">
        <f t="shared" si="272"/>
        <v>1-0,107424041839988i</v>
      </c>
      <c r="AN300" s="32">
        <f t="shared" si="293"/>
        <v>1.00575341151061</v>
      </c>
      <c r="AO300" s="32">
        <f t="shared" si="294"/>
        <v>-0.107013657808023</v>
      </c>
      <c r="AP300" s="30" t="str">
        <f t="shared" si="295"/>
        <v>5,36428451189155-9,85023488989487i</v>
      </c>
      <c r="AQ300" s="32">
        <f t="shared" si="296"/>
        <v>20.9968987826347</v>
      </c>
      <c r="AR300" s="31">
        <f t="shared" si="297"/>
        <v>-61.4279770373057</v>
      </c>
      <c r="AS300" t="str">
        <f t="shared" si="273"/>
        <v>-0,000100699300699301</v>
      </c>
      <c r="AT300" t="str">
        <f t="shared" si="274"/>
        <v>0,00932787979331488i</v>
      </c>
      <c r="AU300">
        <f t="shared" si="298"/>
        <v>0.00932787979331488</v>
      </c>
      <c r="AV300">
        <f t="shared" si="299"/>
        <v>1.5707963267949</v>
      </c>
      <c r="AW300" t="str">
        <f t="shared" si="275"/>
        <v>1+0,47757033639114i</v>
      </c>
      <c r="AX300">
        <f t="shared" si="300"/>
        <v>1.10818474371413</v>
      </c>
      <c r="AY300">
        <f t="shared" si="301"/>
        <v>0.44554341014493</v>
      </c>
      <c r="AZ300" t="str">
        <f t="shared" si="276"/>
        <v>1+22,8319265078913i</v>
      </c>
      <c r="BA300">
        <f t="shared" si="302"/>
        <v>22.8538151751901</v>
      </c>
      <c r="BB300">
        <f t="shared" si="303"/>
        <v>1.52702598162923</v>
      </c>
      <c r="BC300" s="30" t="str">
        <f t="shared" si="304"/>
        <v>-0,196508502528828+0,104642150352039i</v>
      </c>
      <c r="BD300" s="32">
        <f t="shared" si="305"/>
        <v>-13.0481988462286</v>
      </c>
      <c r="BE300" s="31">
        <f t="shared" si="306"/>
        <v>151.964386963006</v>
      </c>
      <c r="BF300" s="30" t="str">
        <f t="shared" si="307"/>
        <v>0,294619547973786+0,249098911127836i</v>
      </c>
      <c r="BG300" s="68">
        <f t="shared" si="308"/>
        <v>-8.2724840215945</v>
      </c>
      <c r="BH300" s="31">
        <f t="shared" si="309"/>
        <v>40.2143022404722</v>
      </c>
      <c r="BI300" s="30" t="str">
        <f t="shared" si="263"/>
        <v>-0,0233777562191144+2,49698517419493i</v>
      </c>
      <c r="BJ300" s="68">
        <f t="shared" si="310"/>
        <v>7.94869993640605</v>
      </c>
      <c r="BK300" s="31">
        <f t="shared" si="264"/>
        <v>90.5364099257003</v>
      </c>
      <c r="BL300" s="32">
        <f t="shared" si="311"/>
        <v>-8.2724840215945</v>
      </c>
      <c r="BM300" s="31">
        <f t="shared" si="312"/>
        <v>40.2143022404722</v>
      </c>
      <c r="BO300">
        <f t="shared" si="313"/>
        <v>0</v>
      </c>
      <c r="BP300">
        <f t="shared" si="314"/>
        <v>0</v>
      </c>
    </row>
    <row r="301" spans="14:68">
      <c r="N301" s="7">
        <v>83</v>
      </c>
      <c r="O301" s="18">
        <f t="shared" si="315"/>
        <v>6760.82975391982</v>
      </c>
      <c r="P301" s="86" t="str">
        <f t="shared" si="265"/>
        <v>60</v>
      </c>
      <c r="Q301" s="4" t="str">
        <f t="shared" si="266"/>
        <v>1+55,5066070009175i</v>
      </c>
      <c r="R301" s="4">
        <f t="shared" si="277"/>
        <v>55.5156142067644</v>
      </c>
      <c r="S301" s="4">
        <f t="shared" si="278"/>
        <v>1.55278240224562</v>
      </c>
      <c r="T301" s="4" t="str">
        <f t="shared" si="267"/>
        <v>1+0,666079284011011i</v>
      </c>
      <c r="U301" s="4">
        <f t="shared" si="279"/>
        <v>1.20152470327856</v>
      </c>
      <c r="V301" s="4">
        <f t="shared" si="280"/>
        <v>0.587595843766707</v>
      </c>
      <c r="W301" t="str">
        <f t="shared" si="268"/>
        <v>1-0,929240072560004i</v>
      </c>
      <c r="X301" s="4">
        <f t="shared" si="281"/>
        <v>1.36509600851051</v>
      </c>
      <c r="Y301" s="4">
        <f t="shared" si="282"/>
        <v>-0.748736980500034</v>
      </c>
      <c r="Z301" t="str">
        <f t="shared" si="269"/>
        <v>0,999626866783988+0,247941840934961i</v>
      </c>
      <c r="AA301" s="4">
        <f t="shared" si="283"/>
        <v>1.02991700116203</v>
      </c>
      <c r="AB301" s="4">
        <f t="shared" si="284"/>
        <v>0.243127824108325</v>
      </c>
      <c r="AC301" s="67" t="str">
        <f t="shared" si="285"/>
        <v>-0,648411584845058-1,59438719989195i</v>
      </c>
      <c r="AD301" s="68">
        <f t="shared" si="286"/>
        <v>4.7165955034538</v>
      </c>
      <c r="AE301" s="31">
        <f t="shared" si="287"/>
        <v>-112.130783395226</v>
      </c>
      <c r="AF301" s="32" t="str">
        <f t="shared" si="288"/>
        <v>326,048966736478</v>
      </c>
      <c r="AG301" s="32" t="str">
        <f t="shared" si="270"/>
        <v>1+35,6828187863042i</v>
      </c>
      <c r="AH301" s="32">
        <f t="shared" si="289"/>
        <v>35.6968283820317</v>
      </c>
      <c r="AI301" s="32">
        <f t="shared" si="290"/>
        <v>1.5427789682215</v>
      </c>
      <c r="AJ301" s="32" t="str">
        <f t="shared" si="271"/>
        <v>1+0,666079284011011i</v>
      </c>
      <c r="AK301" s="32">
        <f t="shared" si="291"/>
        <v>1.20152470327856</v>
      </c>
      <c r="AL301" s="32">
        <f t="shared" si="292"/>
        <v>0.587595843766707</v>
      </c>
      <c r="AM301" s="32" t="str">
        <f t="shared" si="272"/>
        <v>1-0,109926269217334i</v>
      </c>
      <c r="AN301" s="32">
        <f t="shared" si="293"/>
        <v>1.00602374955268</v>
      </c>
      <c r="AO301" s="32">
        <f t="shared" si="294"/>
        <v>-0.109486676884234</v>
      </c>
      <c r="AP301" s="30" t="str">
        <f t="shared" si="295"/>
        <v>5,35242401146534-9,65646024772526i</v>
      </c>
      <c r="AQ301" s="32">
        <f t="shared" si="296"/>
        <v>20.8598826923705</v>
      </c>
      <c r="AR301" s="31">
        <f t="shared" si="297"/>
        <v>-61.0010861917577</v>
      </c>
      <c r="AS301" t="str">
        <f t="shared" si="273"/>
        <v>-0,000100699300699301</v>
      </c>
      <c r="AT301" t="str">
        <f t="shared" si="274"/>
        <v>0,00954515402533636i</v>
      </c>
      <c r="AU301">
        <f t="shared" si="298"/>
        <v>0.00954515402533636</v>
      </c>
      <c r="AV301">
        <f t="shared" si="299"/>
        <v>1.5707963267949</v>
      </c>
      <c r="AW301" t="str">
        <f t="shared" si="275"/>
        <v>1+0,488694378550216i</v>
      </c>
      <c r="AX301">
        <f t="shared" si="300"/>
        <v>1.11302389714982</v>
      </c>
      <c r="AY301">
        <f t="shared" si="301"/>
        <v>0.454562274555776</v>
      </c>
      <c r="AZ301" t="str">
        <f t="shared" si="276"/>
        <v>1+23,3637503957944i</v>
      </c>
      <c r="BA301">
        <f t="shared" si="302"/>
        <v>23.3851412772509</v>
      </c>
      <c r="BB301">
        <f t="shared" si="303"/>
        <v>1.52802108730544</v>
      </c>
      <c r="BC301" s="30" t="str">
        <f t="shared" si="304"/>
        <v>-0,194803476100213+0,105749146381107i</v>
      </c>
      <c r="BD301" s="32">
        <f t="shared" si="305"/>
        <v>-13.0864195424628</v>
      </c>
      <c r="BE301" s="31">
        <f t="shared" si="306"/>
        <v>151.50465945168</v>
      </c>
      <c r="BF301" s="30" t="str">
        <f t="shared" si="307"/>
        <v>0,294917916061003+0,242023197187651i</v>
      </c>
      <c r="BG301" s="68">
        <f t="shared" si="308"/>
        <v>-8.36982403900904</v>
      </c>
      <c r="BH301" s="31">
        <f t="shared" si="309"/>
        <v>39.3738760564542</v>
      </c>
      <c r="BI301" s="30" t="str">
        <f t="shared" si="263"/>
        <v>-0,0215083747356553+2,4471262933626i</v>
      </c>
      <c r="BJ301" s="68">
        <f t="shared" si="310"/>
        <v>7.77346314990762</v>
      </c>
      <c r="BK301" s="31">
        <f t="shared" si="264"/>
        <v>90.5035732599224</v>
      </c>
      <c r="BL301" s="32">
        <f t="shared" si="311"/>
        <v>-8.36982403900904</v>
      </c>
      <c r="BM301" s="31">
        <f t="shared" si="312"/>
        <v>39.3738760564542</v>
      </c>
      <c r="BO301">
        <f t="shared" si="313"/>
        <v>0</v>
      </c>
      <c r="BP301">
        <f t="shared" si="314"/>
        <v>0</v>
      </c>
    </row>
    <row r="302" spans="14:68">
      <c r="N302" s="7">
        <v>84</v>
      </c>
      <c r="O302" s="18">
        <f t="shared" si="315"/>
        <v>6918.30970918937</v>
      </c>
      <c r="P302" s="86" t="str">
        <f t="shared" si="265"/>
        <v>60</v>
      </c>
      <c r="Q302" s="4" t="str">
        <f t="shared" si="266"/>
        <v>1+56,7995219693207i</v>
      </c>
      <c r="R302" s="4">
        <f t="shared" si="277"/>
        <v>56.8083241782694</v>
      </c>
      <c r="S302" s="4">
        <f t="shared" si="278"/>
        <v>1.55319236353329</v>
      </c>
      <c r="T302" s="4" t="str">
        <f t="shared" si="267"/>
        <v>1+0,681594263631849i</v>
      </c>
      <c r="U302" s="4">
        <f t="shared" si="279"/>
        <v>1.21019450511719</v>
      </c>
      <c r="V302" s="4">
        <f t="shared" si="280"/>
        <v>0.598266019433879</v>
      </c>
      <c r="W302" t="str">
        <f t="shared" si="268"/>
        <v>1-0,950884854397111i</v>
      </c>
      <c r="X302" s="4">
        <f t="shared" si="281"/>
        <v>1.37992101452287</v>
      </c>
      <c r="Y302" s="4">
        <f t="shared" si="282"/>
        <v>-0.760227650295926</v>
      </c>
      <c r="Z302" t="str">
        <f t="shared" si="269"/>
        <v>0,999609281557288+0,253717148321935i</v>
      </c>
      <c r="AA302" s="4">
        <f t="shared" si="283"/>
        <v>1.03130553529402</v>
      </c>
      <c r="AB302" s="4">
        <f t="shared" si="284"/>
        <v>0.248567254989259</v>
      </c>
      <c r="AC302" s="67" t="str">
        <f t="shared" si="285"/>
        <v>-0,654843774971464-1,57992341354581i</v>
      </c>
      <c r="AD302" s="68">
        <f t="shared" si="286"/>
        <v>4.66122657709415</v>
      </c>
      <c r="AE302" s="31">
        <f t="shared" si="287"/>
        <v>-112.512939729894</v>
      </c>
      <c r="AF302" s="32" t="str">
        <f t="shared" si="288"/>
        <v>326,048966736478</v>
      </c>
      <c r="AG302" s="32" t="str">
        <f t="shared" si="270"/>
        <v>1+36,5139784088491i</v>
      </c>
      <c r="AH302" s="32">
        <f t="shared" si="289"/>
        <v>36.5276692281604</v>
      </c>
      <c r="AI302" s="32">
        <f t="shared" si="290"/>
        <v>1.54341639877126</v>
      </c>
      <c r="AJ302" s="32" t="str">
        <f t="shared" si="271"/>
        <v>1+0,681594263631849i</v>
      </c>
      <c r="AK302" s="32">
        <f t="shared" si="291"/>
        <v>1.21019450511719</v>
      </c>
      <c r="AL302" s="32">
        <f t="shared" si="292"/>
        <v>0.598266019433879</v>
      </c>
      <c r="AM302" s="32" t="str">
        <f t="shared" si="272"/>
        <v>1-0,112486780957666i</v>
      </c>
      <c r="AN302" s="32">
        <f t="shared" si="293"/>
        <v>1.00630675039484</v>
      </c>
      <c r="AO302" s="32">
        <f t="shared" si="294"/>
        <v>-0.112015908577018</v>
      </c>
      <c r="AP302" s="30" t="str">
        <f t="shared" si="295"/>
        <v>5,34109650248354-9,4677756833486i</v>
      </c>
      <c r="AQ302" s="32">
        <f t="shared" si="296"/>
        <v>20.7249285891617</v>
      </c>
      <c r="AR302" s="31">
        <f t="shared" si="297"/>
        <v>-60.5711665410072</v>
      </c>
      <c r="AS302" t="str">
        <f t="shared" si="273"/>
        <v>-0,000100699300699301</v>
      </c>
      <c r="AT302" t="str">
        <f t="shared" si="274"/>
        <v>0,00976748922436713i</v>
      </c>
      <c r="AU302">
        <f t="shared" si="298"/>
        <v>0.00976748922436713</v>
      </c>
      <c r="AV302">
        <f t="shared" si="299"/>
        <v>1.5707963267949</v>
      </c>
      <c r="AW302" t="str">
        <f t="shared" si="275"/>
        <v>1+0,500077532937434i</v>
      </c>
      <c r="AX302">
        <f t="shared" si="300"/>
        <v>1.11806866468424</v>
      </c>
      <c r="AY302">
        <f t="shared" si="301"/>
        <v>0.463709633427099</v>
      </c>
      <c r="AZ302" t="str">
        <f t="shared" si="276"/>
        <v>1+23,907962053413i</v>
      </c>
      <c r="BA302">
        <f t="shared" si="302"/>
        <v>23.9288664492791</v>
      </c>
      <c r="BB302">
        <f t="shared" si="303"/>
        <v>1.52899362352682</v>
      </c>
      <c r="BC302" s="30" t="str">
        <f t="shared" si="304"/>
        <v>-0,193049520896992+0,106849368461502i</v>
      </c>
      <c r="BD302" s="32">
        <f t="shared" si="305"/>
        <v>-13.1260567257797</v>
      </c>
      <c r="BE302" s="31">
        <f t="shared" si="306"/>
        <v>151.03627661557</v>
      </c>
      <c r="BF302" s="30" t="str">
        <f t="shared" si="307"/>
        <v>0,295231095975529+0,235033814242312i</v>
      </c>
      <c r="BG302" s="68">
        <f t="shared" si="308"/>
        <v>-8.46483014868555</v>
      </c>
      <c r="BH302" s="31">
        <f t="shared" si="309"/>
        <v>38.523336885676</v>
      </c>
      <c r="BI302" s="30" t="str">
        <f t="shared" si="263"/>
        <v>-0,0194702683680836+2,39844234781294i</v>
      </c>
      <c r="BJ302" s="68">
        <f t="shared" si="310"/>
        <v>7.59887186338202</v>
      </c>
      <c r="BK302" s="31">
        <f t="shared" si="264"/>
        <v>90.4651100745629</v>
      </c>
      <c r="BL302" s="32">
        <f t="shared" si="311"/>
        <v>-8.46483014868555</v>
      </c>
      <c r="BM302" s="31">
        <f t="shared" si="312"/>
        <v>38.523336885676</v>
      </c>
      <c r="BO302">
        <f t="shared" si="313"/>
        <v>0</v>
      </c>
      <c r="BP302">
        <f t="shared" si="314"/>
        <v>0</v>
      </c>
    </row>
    <row r="303" spans="14:68">
      <c r="N303" s="7">
        <v>85</v>
      </c>
      <c r="O303" s="18">
        <f t="shared" si="315"/>
        <v>7079.45784384138</v>
      </c>
      <c r="P303" s="86" t="str">
        <f t="shared" si="265"/>
        <v>60</v>
      </c>
      <c r="Q303" s="4" t="str">
        <f t="shared" si="266"/>
        <v>1+58,1225527961026i</v>
      </c>
      <c r="R303" s="4">
        <f t="shared" si="277"/>
        <v>58.1311546723075</v>
      </c>
      <c r="S303" s="4">
        <f t="shared" si="278"/>
        <v>1.55359299868125</v>
      </c>
      <c r="T303" s="4" t="str">
        <f t="shared" si="267"/>
        <v>1+0,697470633553232i</v>
      </c>
      <c r="U303" s="4">
        <f t="shared" si="279"/>
        <v>1.21920682604271</v>
      </c>
      <c r="V303" s="4">
        <f t="shared" si="280"/>
        <v>0.609026385051883</v>
      </c>
      <c r="W303" t="str">
        <f t="shared" si="268"/>
        <v>1-0,973033807970468i</v>
      </c>
      <c r="X303" s="4">
        <f t="shared" si="281"/>
        <v>1.39527588363503</v>
      </c>
      <c r="Y303" s="4">
        <f t="shared" si="282"/>
        <v>-0.771731639772915</v>
      </c>
      <c r="Z303" t="str">
        <f t="shared" si="269"/>
        <v>0,999590867564386+0,259626979899293i</v>
      </c>
      <c r="AA303" s="4">
        <f t="shared" si="283"/>
        <v>1.03275750842574</v>
      </c>
      <c r="AB303" s="4">
        <f t="shared" si="284"/>
        <v>0.254118178325939</v>
      </c>
      <c r="AC303" s="67" t="str">
        <f t="shared" si="285"/>
        <v>-0,661465778730117-1,5661722402623i</v>
      </c>
      <c r="AD303" s="68">
        <f t="shared" si="286"/>
        <v>4.60962826171563</v>
      </c>
      <c r="AE303" s="31">
        <f t="shared" si="287"/>
        <v>-112.896545421255</v>
      </c>
      <c r="AF303" s="32" t="str">
        <f t="shared" si="288"/>
        <v>326,048966736478</v>
      </c>
      <c r="AG303" s="32" t="str">
        <f t="shared" si="270"/>
        <v>1+37,364498226066i</v>
      </c>
      <c r="AH303" s="32">
        <f t="shared" si="289"/>
        <v>37.3778775171316</v>
      </c>
      <c r="AI303" s="32">
        <f t="shared" si="290"/>
        <v>1.54403934113613</v>
      </c>
      <c r="AJ303" s="32" t="str">
        <f t="shared" si="271"/>
        <v>1+0,697470633553232i</v>
      </c>
      <c r="AK303" s="32">
        <f t="shared" si="291"/>
        <v>1.21920682604271</v>
      </c>
      <c r="AL303" s="32">
        <f t="shared" si="292"/>
        <v>0.609026385051883</v>
      </c>
      <c r="AM303" s="32" t="str">
        <f t="shared" si="272"/>
        <v>1-0,115106934678199i</v>
      </c>
      <c r="AN303" s="32">
        <f t="shared" si="293"/>
        <v>1.0066030033787</v>
      </c>
      <c r="AO303" s="32">
        <f t="shared" si="294"/>
        <v>-0.114602564412054</v>
      </c>
      <c r="AP303" s="30" t="str">
        <f t="shared" si="295"/>
        <v>5,3302780683643-9,28408314679842i</v>
      </c>
      <c r="AQ303" s="32">
        <f t="shared" si="296"/>
        <v>20.5920759810905</v>
      </c>
      <c r="AR303" s="31">
        <f t="shared" si="297"/>
        <v>-60.1385394358654</v>
      </c>
      <c r="AS303" t="str">
        <f t="shared" si="273"/>
        <v>-0,000100699300699301</v>
      </c>
      <c r="AT303" t="str">
        <f t="shared" si="274"/>
        <v>0,00999500327547266i</v>
      </c>
      <c r="AU303">
        <f t="shared" si="298"/>
        <v>0.00999500327547266</v>
      </c>
      <c r="AV303">
        <f t="shared" si="299"/>
        <v>1.5707963267949</v>
      </c>
      <c r="AW303" t="str">
        <f t="shared" si="275"/>
        <v>1+0,511725835051924i</v>
      </c>
      <c r="AX303">
        <f t="shared" si="300"/>
        <v>1.12332690266885</v>
      </c>
      <c r="AY303">
        <f t="shared" si="301"/>
        <v>0.472984212673194</v>
      </c>
      <c r="AZ303" t="str">
        <f t="shared" si="276"/>
        <v>1+24,4648500289717i</v>
      </c>
      <c r="BA303">
        <f t="shared" si="302"/>
        <v>24.4852789843219</v>
      </c>
      <c r="BB303">
        <f t="shared" si="303"/>
        <v>1.52994409858194</v>
      </c>
      <c r="BC303" s="30" t="str">
        <f t="shared" si="304"/>
        <v>-0,191246440237319+0,107940708583179i</v>
      </c>
      <c r="BD303" s="32">
        <f t="shared" si="305"/>
        <v>-13.1671517880136</v>
      </c>
      <c r="BE303" s="31">
        <f t="shared" si="306"/>
        <v>150.5593405772</v>
      </c>
      <c r="BF303" s="30" t="str">
        <f t="shared" si="307"/>
        <v>0,295556716898159+0,228125780889019i</v>
      </c>
      <c r="BG303" s="68">
        <f t="shared" si="308"/>
        <v>-8.55752352629793</v>
      </c>
      <c r="BH303" s="31">
        <f t="shared" si="309"/>
        <v>37.6627951559458</v>
      </c>
      <c r="BI303" s="30" t="str">
        <f t="shared" si="263"/>
        <v>-0,0172661926391535+2,35090184433711i</v>
      </c>
      <c r="BJ303" s="68">
        <f t="shared" si="310"/>
        <v>7.42492419307698</v>
      </c>
      <c r="BK303" s="31">
        <f t="shared" si="264"/>
        <v>90.4208011413349</v>
      </c>
      <c r="BL303" s="32">
        <f t="shared" si="311"/>
        <v>-8.55752352629793</v>
      </c>
      <c r="BM303" s="31">
        <f t="shared" si="312"/>
        <v>37.6627951559458</v>
      </c>
      <c r="BO303">
        <f t="shared" si="313"/>
        <v>0</v>
      </c>
      <c r="BP303">
        <f t="shared" si="314"/>
        <v>0</v>
      </c>
    </row>
    <row r="304" spans="14:68">
      <c r="N304" s="7">
        <v>86</v>
      </c>
      <c r="O304" s="18">
        <f t="shared" si="315"/>
        <v>7244.3596007499</v>
      </c>
      <c r="P304" s="86" t="str">
        <f t="shared" si="265"/>
        <v>60</v>
      </c>
      <c r="Q304" s="4" t="str">
        <f t="shared" si="266"/>
        <v>1+59,4764009697199i</v>
      </c>
      <c r="R304" s="4">
        <f t="shared" si="277"/>
        <v>59.4848070713094</v>
      </c>
      <c r="S304" s="4">
        <f t="shared" si="278"/>
        <v>1.55398451959683</v>
      </c>
      <c r="T304" s="4" t="str">
        <f t="shared" si="267"/>
        <v>1+0,71371681163664i</v>
      </c>
      <c r="U304" s="4">
        <f t="shared" si="279"/>
        <v>1.22857302884801</v>
      </c>
      <c r="V304" s="4">
        <f t="shared" si="280"/>
        <v>0.61987267880287</v>
      </c>
      <c r="W304" t="str">
        <f t="shared" si="268"/>
        <v>1-0,995698676948437i</v>
      </c>
      <c r="X304" s="4">
        <f t="shared" si="281"/>
        <v>1.41117534533341</v>
      </c>
      <c r="Y304" s="4">
        <f t="shared" si="282"/>
        <v>-0.783242869895004</v>
      </c>
      <c r="Z304" t="str">
        <f t="shared" si="269"/>
        <v>0,999571585746735+0,265674469137962i</v>
      </c>
      <c r="AA304" s="4">
        <f t="shared" si="283"/>
        <v>1.03427572657584</v>
      </c>
      <c r="AB304" s="4">
        <f t="shared" si="284"/>
        <v>0.259782194926994</v>
      </c>
      <c r="AC304" s="67" t="str">
        <f t="shared" si="285"/>
        <v>-0,66828741779504-1,55311875135432i</v>
      </c>
      <c r="AD304" s="68">
        <f t="shared" si="286"/>
        <v>4.56181635766447</v>
      </c>
      <c r="AE304" s="31">
        <f t="shared" si="287"/>
        <v>-113.28160021135</v>
      </c>
      <c r="AF304" s="32" t="str">
        <f t="shared" si="288"/>
        <v>326,048966736478</v>
      </c>
      <c r="AG304" s="32" t="str">
        <f t="shared" si="270"/>
        <v>1+38,23482919482i</v>
      </c>
      <c r="AH304" s="32">
        <f t="shared" si="289"/>
        <v>38.2479040413597</v>
      </c>
      <c r="AI304" s="32">
        <f t="shared" si="290"/>
        <v>1.5446481236734</v>
      </c>
      <c r="AJ304" s="32" t="str">
        <f t="shared" si="271"/>
        <v>1+0,71371681163664i</v>
      </c>
      <c r="AK304" s="32">
        <f t="shared" si="291"/>
        <v>1.22857302884801</v>
      </c>
      <c r="AL304" s="32">
        <f t="shared" si="292"/>
        <v>0.61987267880287</v>
      </c>
      <c r="AM304" s="32" t="str">
        <f t="shared" si="272"/>
        <v>1-0,11778811961912i</v>
      </c>
      <c r="AN304" s="32">
        <f t="shared" si="293"/>
        <v>1.00691312491367</v>
      </c>
      <c r="AO304" s="32">
        <f t="shared" si="294"/>
        <v>-0.117247877339467</v>
      </c>
      <c r="AP304" s="30" t="str">
        <f t="shared" si="295"/>
        <v>5,31994586262541-9,10528710223907i</v>
      </c>
      <c r="AQ304" s="32">
        <f t="shared" si="296"/>
        <v>20.4613633179663</v>
      </c>
      <c r="AR304" s="31">
        <f t="shared" si="297"/>
        <v>-59.7035385168335</v>
      </c>
      <c r="AS304" t="str">
        <f t="shared" si="273"/>
        <v>-0,000100699300699301</v>
      </c>
      <c r="AT304" t="str">
        <f t="shared" si="274"/>
        <v>0,0102278168096144i</v>
      </c>
      <c r="AU304">
        <f t="shared" si="298"/>
        <v>0.0102278168096144</v>
      </c>
      <c r="AV304">
        <f t="shared" si="299"/>
        <v>1.5707963267949</v>
      </c>
      <c r="AW304" t="str">
        <f t="shared" si="275"/>
        <v>1+0,523645460977651i</v>
      </c>
      <c r="AX304">
        <f t="shared" si="300"/>
        <v>1.12880670125691</v>
      </c>
      <c r="AY304">
        <f t="shared" si="301"/>
        <v>0.482384546645558</v>
      </c>
      <c r="AZ304" t="str">
        <f t="shared" si="276"/>
        <v>1+25,0347095918464i</v>
      </c>
      <c r="BA304">
        <f t="shared" si="302"/>
        <v>25.05467390225</v>
      </c>
      <c r="BB304">
        <f t="shared" si="303"/>
        <v>1.53087300955206</v>
      </c>
      <c r="BC304" s="30" t="str">
        <f t="shared" si="304"/>
        <v>-0,189394133317977+0,109021008314637i</v>
      </c>
      <c r="BD304" s="32">
        <f t="shared" si="305"/>
        <v>-13.2097462109621</v>
      </c>
      <c r="BE304" s="31">
        <f t="shared" si="306"/>
        <v>150.073963792701</v>
      </c>
      <c r="BF304" s="30" t="str">
        <f t="shared" si="307"/>
        <v>0,295892288605618+0,22129421172065i</v>
      </c>
      <c r="BG304" s="68">
        <f t="shared" si="308"/>
        <v>-8.64792985329762</v>
      </c>
      <c r="BH304" s="31">
        <f t="shared" si="309"/>
        <v>36.7923635813514</v>
      </c>
      <c r="BI304" s="30" t="str">
        <f t="shared" si="263"/>
        <v>-0,0148989550701344+2,30447382146263i</v>
      </c>
      <c r="BJ304" s="68">
        <f t="shared" si="310"/>
        <v>7.25161710700426</v>
      </c>
      <c r="BK304" s="31">
        <f t="shared" si="264"/>
        <v>90.3704252758678</v>
      </c>
      <c r="BL304" s="32">
        <f t="shared" si="311"/>
        <v>-8.64792985329762</v>
      </c>
      <c r="BM304" s="31">
        <f t="shared" si="312"/>
        <v>36.7923635813514</v>
      </c>
      <c r="BO304">
        <f t="shared" si="313"/>
        <v>0</v>
      </c>
      <c r="BP304">
        <f t="shared" si="314"/>
        <v>0</v>
      </c>
    </row>
    <row r="305" spans="14:68">
      <c r="N305" s="7">
        <v>87</v>
      </c>
      <c r="O305" s="18">
        <f t="shared" si="315"/>
        <v>7413.10241300918</v>
      </c>
      <c r="P305" s="86" t="str">
        <f t="shared" si="265"/>
        <v>60</v>
      </c>
      <c r="Q305" s="4" t="str">
        <f t="shared" si="266"/>
        <v>1+60,8617843183947i</v>
      </c>
      <c r="R305" s="4">
        <f t="shared" si="277"/>
        <v>60.8699990998751</v>
      </c>
      <c r="S305" s="4">
        <f t="shared" si="278"/>
        <v>1.55436713338921</v>
      </c>
      <c r="T305" s="4" t="str">
        <f t="shared" si="267"/>
        <v>1+0,730341411820737i</v>
      </c>
      <c r="U305" s="4">
        <f t="shared" si="279"/>
        <v>1.23830471929179</v>
      </c>
      <c r="V305" s="4">
        <f t="shared" si="280"/>
        <v>0.630800443831653</v>
      </c>
      <c r="W305" t="str">
        <f t="shared" si="268"/>
        <v>1-1,01889147854456i</v>
      </c>
      <c r="X305" s="4">
        <f t="shared" si="281"/>
        <v>1.42763435271456</v>
      </c>
      <c r="Y305" s="4">
        <f t="shared" si="282"/>
        <v>-0.794755242465219</v>
      </c>
      <c r="Z305" t="str">
        <f t="shared" si="269"/>
        <v>0,999551395205014+0,271862822496787i</v>
      </c>
      <c r="AA305" s="4">
        <f t="shared" si="283"/>
        <v>1.03586311157035</v>
      </c>
      <c r="AB305" s="4">
        <f t="shared" si="284"/>
        <v>0.26556088192356</v>
      </c>
      <c r="AC305" s="67" t="str">
        <f t="shared" si="285"/>
        <v>-0,675318583305924-1,54074795059396i</v>
      </c>
      <c r="AD305" s="68">
        <f t="shared" si="286"/>
        <v>4.51780210523221</v>
      </c>
      <c r="AE305" s="31">
        <f t="shared" si="287"/>
        <v>-113.668112287662</v>
      </c>
      <c r="AF305" s="32" t="str">
        <f t="shared" si="288"/>
        <v>326,048966736478</v>
      </c>
      <c r="AG305" s="32" t="str">
        <f t="shared" si="270"/>
        <v>1+39,1254327761109i</v>
      </c>
      <c r="AH305" s="32">
        <f t="shared" si="289"/>
        <v>39.1382101011016</v>
      </c>
      <c r="AI305" s="32">
        <f t="shared" si="290"/>
        <v>1.54524306736158</v>
      </c>
      <c r="AJ305" s="32" t="str">
        <f t="shared" si="271"/>
        <v>1+0,730341411820737i</v>
      </c>
      <c r="AK305" s="32">
        <f t="shared" si="291"/>
        <v>1.23830471929179</v>
      </c>
      <c r="AL305" s="32">
        <f t="shared" si="292"/>
        <v>0.630800443831653</v>
      </c>
      <c r="AM305" s="32" t="str">
        <f t="shared" si="272"/>
        <v>1-0,120531757380173i</v>
      </c>
      <c r="AN305" s="32">
        <f t="shared" si="293"/>
        <v>1.00723775968594</v>
      </c>
      <c r="AO305" s="32">
        <f t="shared" si="294"/>
        <v>-0.119953101770854</v>
      </c>
      <c r="AP305" s="30" t="str">
        <f t="shared" si="295"/>
        <v>5,31007806127737-8,931294486134i</v>
      </c>
      <c r="AQ305" s="32">
        <f t="shared" si="296"/>
        <v>20.3328278883124</v>
      </c>
      <c r="AR305" s="31">
        <f t="shared" si="297"/>
        <v>-59.2665094061085</v>
      </c>
      <c r="AS305" t="str">
        <f t="shared" si="273"/>
        <v>-0,000100699300699301</v>
      </c>
      <c r="AT305" t="str">
        <f t="shared" si="274"/>
        <v>0,0104660532676097i</v>
      </c>
      <c r="AU305">
        <f t="shared" si="298"/>
        <v>0.0104660532676097</v>
      </c>
      <c r="AV305">
        <f t="shared" si="299"/>
        <v>1.5707963267949</v>
      </c>
      <c r="AW305" t="str">
        <f t="shared" si="275"/>
        <v>1+0,535842730658056i</v>
      </c>
      <c r="AX305">
        <f t="shared" si="300"/>
        <v>1.13451638683585</v>
      </c>
      <c r="AY305">
        <f t="shared" si="301"/>
        <v>0.491908973265042</v>
      </c>
      <c r="AZ305" t="str">
        <f t="shared" si="276"/>
        <v>1+25,6178428891202i</v>
      </c>
      <c r="BA305">
        <f t="shared" si="302"/>
        <v>25.6373531061934</v>
      </c>
      <c r="BB305">
        <f t="shared" si="303"/>
        <v>1.53178084254212</v>
      </c>
      <c r="BC305" s="30" t="str">
        <f t="shared" si="304"/>
        <v>-0,187492600948876+0,110088063435745i</v>
      </c>
      <c r="BD305" s="32">
        <f t="shared" si="305"/>
        <v>-13.2538814860358</v>
      </c>
      <c r="BE305" s="31">
        <f t="shared" si="306"/>
        <v>149.580269343956</v>
      </c>
      <c r="BF305" s="30" t="str">
        <f t="shared" si="307"/>
        <v>0,29623519577662+0,214534325625192i</v>
      </c>
      <c r="BG305" s="68">
        <f t="shared" si="308"/>
        <v>-8.73607938080359</v>
      </c>
      <c r="BH305" s="31">
        <f t="shared" si="309"/>
        <v>35.9121570562941</v>
      </c>
      <c r="BI305" s="30" t="str">
        <f t="shared" si="263"/>
        <v>-0,0123714329976197+2,25912784350428i</v>
      </c>
      <c r="BJ305" s="68">
        <f t="shared" si="310"/>
        <v>7.07894640227657</v>
      </c>
      <c r="BK305" s="31">
        <f t="shared" si="264"/>
        <v>90.313759937848</v>
      </c>
      <c r="BL305" s="32">
        <f t="shared" si="311"/>
        <v>-8.73607938080359</v>
      </c>
      <c r="BM305" s="31">
        <f t="shared" si="312"/>
        <v>35.9121570562941</v>
      </c>
      <c r="BO305">
        <f t="shared" si="313"/>
        <v>0</v>
      </c>
      <c r="BP305">
        <f t="shared" si="314"/>
        <v>0</v>
      </c>
    </row>
    <row r="306" spans="14:68">
      <c r="N306" s="7">
        <v>88</v>
      </c>
      <c r="O306" s="18">
        <f t="shared" si="315"/>
        <v>7585.77575029184</v>
      </c>
      <c r="P306" s="86" t="str">
        <f t="shared" si="265"/>
        <v>60</v>
      </c>
      <c r="Q306" s="4" t="str">
        <f t="shared" si="266"/>
        <v>1+62,279437390716i</v>
      </c>
      <c r="R306" s="4">
        <f t="shared" si="277"/>
        <v>62.2874652053213</v>
      </c>
      <c r="S306" s="4">
        <f t="shared" si="278"/>
        <v>1.55474104247692</v>
      </c>
      <c r="T306" s="4" t="str">
        <f t="shared" si="267"/>
        <v>1+0,747353248688593i</v>
      </c>
      <c r="U306" s="4">
        <f t="shared" si="279"/>
        <v>1.24841374484799</v>
      </c>
      <c r="V306" s="4">
        <f t="shared" si="280"/>
        <v>0.641805034816976</v>
      </c>
      <c r="W306" t="str">
        <f t="shared" si="268"/>
        <v>1-1,04262450988922i</v>
      </c>
      <c r="X306" s="4">
        <f t="shared" si="281"/>
        <v>1.44466808250952</v>
      </c>
      <c r="Y306" s="4">
        <f t="shared" si="282"/>
        <v>-0.806262656260665</v>
      </c>
      <c r="Z306" t="str">
        <f t="shared" si="269"/>
        <v>0,999530253112378+0,278195321122629i</v>
      </c>
      <c r="AA306" s="4">
        <f t="shared" si="283"/>
        <v>1.037522705092</v>
      </c>
      <c r="AB306" s="4">
        <f t="shared" si="284"/>
        <v>0.271455788969854</v>
      </c>
      <c r="AC306" s="67" t="str">
        <f t="shared" si="285"/>
        <v>-0,682569229604669-1,52904474842515i</v>
      </c>
      <c r="AD306" s="68">
        <f t="shared" si="286"/>
        <v>4.47759205344316</v>
      </c>
      <c r="AE306" s="31">
        <f t="shared" si="287"/>
        <v>-114.056098619547</v>
      </c>
      <c r="AF306" s="32" t="str">
        <f t="shared" si="288"/>
        <v>326,048966736478</v>
      </c>
      <c r="AG306" s="32" t="str">
        <f t="shared" si="270"/>
        <v>1+40,0367811797461i</v>
      </c>
      <c r="AH306" s="32">
        <f t="shared" si="289"/>
        <v>40.0492677490472</v>
      </c>
      <c r="AI306" s="32">
        <f t="shared" si="290"/>
        <v>1.54582448596206</v>
      </c>
      <c r="AJ306" s="32" t="str">
        <f t="shared" si="271"/>
        <v>1+0,747353248688593i</v>
      </c>
      <c r="AK306" s="32">
        <f t="shared" si="291"/>
        <v>1.24841374484799</v>
      </c>
      <c r="AL306" s="32">
        <f t="shared" si="292"/>
        <v>0.641805034816976</v>
      </c>
      <c r="AM306" s="32" t="str">
        <f t="shared" si="272"/>
        <v>1-0,123339302674415i</v>
      </c>
      <c r="AN306" s="32">
        <f t="shared" si="293"/>
        <v>1.00757758191824</v>
      </c>
      <c r="AO306" s="32">
        <f t="shared" si="294"/>
        <v>-0.122719513586993</v>
      </c>
      <c r="AP306" s="30" t="str">
        <f t="shared" si="295"/>
        <v>5,30065381730972-8,76201466614008i</v>
      </c>
      <c r="AQ306" s="32">
        <f t="shared" si="296"/>
        <v>20.2065057185965</v>
      </c>
      <c r="AR306" s="31">
        <f t="shared" si="297"/>
        <v>-58.8278093407794</v>
      </c>
      <c r="AS306" t="str">
        <f t="shared" si="273"/>
        <v>-0,000100699300699301</v>
      </c>
      <c r="AT306" t="str">
        <f t="shared" si="274"/>
        <v>0,0107098389655821i</v>
      </c>
      <c r="AU306">
        <f t="shared" si="298"/>
        <v>0.0107098389655821</v>
      </c>
      <c r="AV306">
        <f t="shared" si="299"/>
        <v>1.5707963267949</v>
      </c>
      <c r="AW306" t="str">
        <f t="shared" si="275"/>
        <v>1+0,548324111246972i</v>
      </c>
      <c r="AX306">
        <f t="shared" si="300"/>
        <v>1.14046452420704</v>
      </c>
      <c r="AY306">
        <f t="shared" si="301"/>
        <v>0.501555629629931</v>
      </c>
      <c r="AZ306" t="str">
        <f t="shared" si="276"/>
        <v>1+26,2145591057861i</v>
      </c>
      <c r="BA306">
        <f t="shared" si="302"/>
        <v>26.2336255426266</v>
      </c>
      <c r="BB306">
        <f t="shared" si="303"/>
        <v>1.53266807290819</v>
      </c>
      <c r="BC306" s="30" t="str">
        <f t="shared" si="304"/>
        <v>-0,185541951094367+0,111139629151431i</v>
      </c>
      <c r="BD306" s="32">
        <f t="shared" si="305"/>
        <v>-13.2995990291656</v>
      </c>
      <c r="BE306" s="31">
        <f t="shared" si="306"/>
        <v>149.078391203266</v>
      </c>
      <c r="BF306" s="30" t="str">
        <f t="shared" si="307"/>
        <v>0,296582692913744+0,207841454884957i</v>
      </c>
      <c r="BG306" s="68">
        <f t="shared" si="308"/>
        <v>-8.82200697572244</v>
      </c>
      <c r="BH306" s="31">
        <f t="shared" si="309"/>
        <v>35.0222925837191</v>
      </c>
      <c r="BI306" s="30" t="str">
        <f t="shared" ref="BI306:BI369" si="316">IMPRODUCT(AP306,BC306)</f>
        <v>-0,00968659072524169+2,21483399618901i</v>
      </c>
      <c r="BJ306" s="68">
        <f t="shared" si="310"/>
        <v>6.90690668943085</v>
      </c>
      <c r="BK306" s="31">
        <f t="shared" ref="BK306:BK369" si="317">(180/PI())*IMARGUMENT(BI306)</f>
        <v>90.2505818624869</v>
      </c>
      <c r="BL306" s="32">
        <f t="shared" si="311"/>
        <v>-8.82200697572244</v>
      </c>
      <c r="BM306" s="31">
        <f t="shared" si="312"/>
        <v>35.0222925837191</v>
      </c>
      <c r="BO306">
        <f t="shared" si="313"/>
        <v>0</v>
      </c>
      <c r="BP306">
        <f t="shared" si="314"/>
        <v>0</v>
      </c>
    </row>
    <row r="307" spans="14:68">
      <c r="N307" s="7">
        <v>89</v>
      </c>
      <c r="O307" s="18">
        <f t="shared" si="315"/>
        <v>7762.47116628693</v>
      </c>
      <c r="P307" s="86" t="str">
        <f t="shared" si="265"/>
        <v>60</v>
      </c>
      <c r="Q307" s="4" t="str">
        <f t="shared" si="266"/>
        <v>1+63,7301118451077i</v>
      </c>
      <c r="R307" s="4">
        <f t="shared" si="277"/>
        <v>63.7379569470966</v>
      </c>
      <c r="S307" s="4">
        <f t="shared" si="278"/>
        <v>1.55510644469306</v>
      </c>
      <c r="T307" s="4" t="str">
        <f t="shared" si="267"/>
        <v>1+0,764761342141294i</v>
      </c>
      <c r="U307" s="4">
        <f t="shared" si="279"/>
        <v>1.25891219329775</v>
      </c>
      <c r="V307" s="4">
        <f t="shared" si="280"/>
        <v>0.652881625532901</v>
      </c>
      <c r="W307" t="str">
        <f t="shared" si="268"/>
        <v>1-1,0669103545498i</v>
      </c>
      <c r="X307" s="4">
        <f t="shared" si="281"/>
        <v>1.4622919355059</v>
      </c>
      <c r="Y307" s="4">
        <f t="shared" si="282"/>
        <v>-0.817759023187154</v>
      </c>
      <c r="Z307" t="str">
        <f t="shared" si="269"/>
        <v>0,999508114623613+0,28467532259008i</v>
      </c>
      <c r="AA307" s="4">
        <f t="shared" si="283"/>
        <v>1.03925767280796</v>
      </c>
      <c r="AB307" s="4">
        <f t="shared" si="284"/>
        <v>0.277468434236391</v>
      </c>
      <c r="AC307" s="67" t="str">
        <f t="shared" si="285"/>
        <v>-0,690049366352954-1,51799393598637i</v>
      </c>
      <c r="AD307" s="68">
        <f t="shared" si="286"/>
        <v>4.44118794282993</v>
      </c>
      <c r="AE307" s="31">
        <f t="shared" si="287"/>
        <v>-114.445585227044</v>
      </c>
      <c r="AF307" s="32" t="str">
        <f t="shared" si="288"/>
        <v>326,048966736478</v>
      </c>
      <c r="AG307" s="32" t="str">
        <f t="shared" si="270"/>
        <v>1+40,9693576147122i</v>
      </c>
      <c r="AH307" s="32">
        <f t="shared" si="289"/>
        <v>40.9815600406107</v>
      </c>
      <c r="AI307" s="32">
        <f t="shared" si="290"/>
        <v>1.54639268617739</v>
      </c>
      <c r="AJ307" s="32" t="str">
        <f t="shared" si="271"/>
        <v>1+0,764761342141294i</v>
      </c>
      <c r="AK307" s="32">
        <f t="shared" si="291"/>
        <v>1.25891219329775</v>
      </c>
      <c r="AL307" s="32">
        <f t="shared" si="292"/>
        <v>0.652881625532901</v>
      </c>
      <c r="AM307" s="32" t="str">
        <f t="shared" si="272"/>
        <v>1-0,126212244099524i</v>
      </c>
      <c r="AN307" s="32">
        <f t="shared" si="293"/>
        <v>1.0079332966822</v>
      </c>
      <c r="AO307" s="32">
        <f t="shared" si="294"/>
        <v>-0.125548410113671</v>
      </c>
      <c r="AP307" s="30" t="str">
        <f t="shared" si="295"/>
        <v>5,29165321718204-8,59735940074435i</v>
      </c>
      <c r="AQ307" s="32">
        <f t="shared" si="296"/>
        <v>20.0824314754797</v>
      </c>
      <c r="AR307" s="31">
        <f t="shared" si="297"/>
        <v>-58.3878067472777</v>
      </c>
      <c r="AS307" t="str">
        <f t="shared" si="273"/>
        <v>-0,000100699300699301</v>
      </c>
      <c r="AT307" t="str">
        <f t="shared" si="274"/>
        <v>0,0109593031619355i</v>
      </c>
      <c r="AU307">
        <f t="shared" si="298"/>
        <v>0.0109593031619355</v>
      </c>
      <c r="AV307">
        <f t="shared" si="299"/>
        <v>1.5707963267949</v>
      </c>
      <c r="AW307" t="str">
        <f t="shared" si="275"/>
        <v>1+0,5610962205376i</v>
      </c>
      <c r="AX307">
        <f t="shared" si="300"/>
        <v>1.14665991850312</v>
      </c>
      <c r="AY307">
        <f t="shared" si="301"/>
        <v>0.511322448155377</v>
      </c>
      <c r="AZ307" t="str">
        <f t="shared" si="276"/>
        <v>1+26,8251746286805i</v>
      </c>
      <c r="BA307">
        <f t="shared" si="302"/>
        <v>26.8438073651858</v>
      </c>
      <c r="BB307">
        <f t="shared" si="303"/>
        <v>1.53353516548108</v>
      </c>
      <c r="BC307" s="30" t="str">
        <f t="shared" si="304"/>
        <v>-0,183542404162628+0,112173425888009i</v>
      </c>
      <c r="BD307" s="32">
        <f t="shared" si="305"/>
        <v>-13.3469400911558</v>
      </c>
      <c r="BE307" s="31">
        <f t="shared" si="306"/>
        <v>148.568474467363</v>
      </c>
      <c r="BF307" s="30" t="str">
        <f t="shared" si="307"/>
        <v>0,296931899968133+0,201211055059568i</v>
      </c>
      <c r="BG307" s="68">
        <f t="shared" si="308"/>
        <v>-8.90575214832588</v>
      </c>
      <c r="BH307" s="31">
        <f t="shared" si="309"/>
        <v>34.1228892403181</v>
      </c>
      <c r="BI307" s="30" t="str">
        <f t="shared" si="316"/>
        <v>-0,0068474959045226+2,1715628838454i</v>
      </c>
      <c r="BJ307" s="68">
        <f t="shared" si="310"/>
        <v>6.73549138432385</v>
      </c>
      <c r="BK307" s="31">
        <f t="shared" si="317"/>
        <v>90.1806677200848</v>
      </c>
      <c r="BL307" s="32">
        <f t="shared" si="311"/>
        <v>-8.90575214832588</v>
      </c>
      <c r="BM307" s="31">
        <f t="shared" si="312"/>
        <v>34.1228892403181</v>
      </c>
      <c r="BO307">
        <f t="shared" si="313"/>
        <v>0</v>
      </c>
      <c r="BP307">
        <f t="shared" si="314"/>
        <v>0</v>
      </c>
    </row>
    <row r="308" spans="14:68">
      <c r="N308" s="7">
        <v>90</v>
      </c>
      <c r="O308" s="18">
        <f t="shared" si="315"/>
        <v>7943.28234724282</v>
      </c>
      <c r="P308" s="86" t="str">
        <f t="shared" si="265"/>
        <v>60</v>
      </c>
      <c r="Q308" s="4" t="str">
        <f t="shared" si="266"/>
        <v>1+65,2145768483674i</v>
      </c>
      <c r="R308" s="4">
        <f t="shared" si="277"/>
        <v>65.2222433952683</v>
      </c>
      <c r="S308" s="4">
        <f t="shared" si="278"/>
        <v>1.55546353338821</v>
      </c>
      <c r="T308" s="4" t="str">
        <f t="shared" si="267"/>
        <v>1+0,78257492218041i</v>
      </c>
      <c r="U308" s="4">
        <f t="shared" si="279"/>
        <v>1.26981239119237</v>
      </c>
      <c r="V308" s="4">
        <f t="shared" si="280"/>
        <v>0.664025217387735</v>
      </c>
      <c r="W308" t="str">
        <f t="shared" si="268"/>
        <v>1-1,09176188920258i</v>
      </c>
      <c r="X308" s="4">
        <f t="shared" si="281"/>
        <v>1.48052153740335</v>
      </c>
      <c r="Y308" s="4">
        <f t="shared" si="282"/>
        <v>-0.829238284349067</v>
      </c>
      <c r="Z308" t="str">
        <f t="shared" si="269"/>
        <v>0,999484932780016+0,291306262681692i</v>
      </c>
      <c r="AA308" s="4">
        <f t="shared" si="283"/>
        <v>1.04107130857202</v>
      </c>
      <c r="AB308" s="4">
        <f t="shared" si="284"/>
        <v>0.283600300192959</v>
      </c>
      <c r="AC308" s="67" t="str">
        <f t="shared" si="285"/>
        <v>-0,697769048945297-1,5075801590191i</v>
      </c>
      <c r="AD308" s="68">
        <f t="shared" si="286"/>
        <v>4.4085866030803</v>
      </c>
      <c r="AE308" s="31">
        <f t="shared" si="287"/>
        <v>-114.836607376647</v>
      </c>
      <c r="AF308" s="32" t="str">
        <f t="shared" si="288"/>
        <v>326,048966736478</v>
      </c>
      <c r="AG308" s="32" t="str">
        <f t="shared" si="270"/>
        <v>1+41,9236565453791i</v>
      </c>
      <c r="AH308" s="32">
        <f t="shared" si="289"/>
        <v>41.9355812900561</v>
      </c>
      <c r="AI308" s="32">
        <f t="shared" si="290"/>
        <v>1.54694796780645</v>
      </c>
      <c r="AJ308" s="32" t="str">
        <f t="shared" si="271"/>
        <v>1+0,78257492218041i</v>
      </c>
      <c r="AK308" s="32">
        <f t="shared" si="291"/>
        <v>1.26981239119237</v>
      </c>
      <c r="AL308" s="32">
        <f t="shared" si="292"/>
        <v>0.664025217387735</v>
      </c>
      <c r="AM308" s="32" t="str">
        <f t="shared" si="272"/>
        <v>1-0,129152104927071i</v>
      </c>
      <c r="AN308" s="32">
        <f t="shared" si="293"/>
        <v>1.00830564126513</v>
      </c>
      <c r="AO308" s="32">
        <f t="shared" si="294"/>
        <v>-0.128441110063001</v>
      </c>
      <c r="AP308" s="30" t="str">
        <f t="shared" si="295"/>
        <v>5,28305723923217-8,43724279965809i</v>
      </c>
      <c r="AQ308" s="32">
        <f t="shared" si="296"/>
        <v>19.9606383718649</v>
      </c>
      <c r="AR308" s="31">
        <f t="shared" si="297"/>
        <v>-57.94688075766</v>
      </c>
      <c r="AS308" t="str">
        <f t="shared" si="273"/>
        <v>-0,000100699300699301</v>
      </c>
      <c r="AT308" t="str">
        <f t="shared" si="274"/>
        <v>0,0112145781258889i</v>
      </c>
      <c r="AU308">
        <f t="shared" si="298"/>
        <v>0.0112145781258889</v>
      </c>
      <c r="AV308">
        <f t="shared" si="299"/>
        <v>1.5707963267949</v>
      </c>
      <c r="AW308" t="str">
        <f t="shared" si="275"/>
        <v>1+0,574165830471343i</v>
      </c>
      <c r="AX308">
        <f t="shared" si="300"/>
        <v>1.15311161683544</v>
      </c>
      <c r="AY308">
        <f t="shared" si="301"/>
        <v>0.521207153299462</v>
      </c>
      <c r="AZ308" t="str">
        <f t="shared" si="276"/>
        <v>1+27,4500132142363i</v>
      </c>
      <c r="BA308">
        <f t="shared" si="302"/>
        <v>27.4682221023085</v>
      </c>
      <c r="BB308">
        <f t="shared" si="303"/>
        <v>1.53438257478641</v>
      </c>
      <c r="BC308" s="30" t="str">
        <f t="shared" si="304"/>
        <v>-0,181494297982026+0,113187145667949i</v>
      </c>
      <c r="BD308" s="32">
        <f t="shared" si="305"/>
        <v>-13.3959456637183</v>
      </c>
      <c r="BE308" s="31">
        <f t="shared" si="306"/>
        <v>148.05067555759</v>
      </c>
      <c r="BF308" s="30" t="str">
        <f t="shared" si="307"/>
        <v>0,297279798756917+0,194638715627245i</v>
      </c>
      <c r="BG308" s="68">
        <f t="shared" si="308"/>
        <v>-8.98735906063805</v>
      </c>
      <c r="BH308" s="31">
        <f t="shared" si="309"/>
        <v>33.2140681809433</v>
      </c>
      <c r="BI308" s="30" t="str">
        <f t="shared" si="316"/>
        <v>-0,00385733503254893+2,12928562813693i</v>
      </c>
      <c r="BJ308" s="68">
        <f t="shared" si="310"/>
        <v>6.56469270814656</v>
      </c>
      <c r="BK308" s="31">
        <f t="shared" si="317"/>
        <v>90.1037947999305</v>
      </c>
      <c r="BL308" s="32">
        <f t="shared" si="311"/>
        <v>-8.98735906063805</v>
      </c>
      <c r="BM308" s="31">
        <f t="shared" si="312"/>
        <v>33.2140681809433</v>
      </c>
      <c r="BO308">
        <f t="shared" si="313"/>
        <v>0</v>
      </c>
      <c r="BP308">
        <f t="shared" si="314"/>
        <v>0</v>
      </c>
    </row>
    <row r="309" spans="14:68">
      <c r="N309" s="7">
        <v>91</v>
      </c>
      <c r="O309" s="18">
        <f t="shared" si="315"/>
        <v>8128.30516164101</v>
      </c>
      <c r="P309" s="86" t="str">
        <f t="shared" si="265"/>
        <v>60</v>
      </c>
      <c r="Q309" s="4" t="str">
        <f t="shared" si="266"/>
        <v>1+66,7336194834892i</v>
      </c>
      <c r="R309" s="4">
        <f t="shared" si="277"/>
        <v>66.741111538295</v>
      </c>
      <c r="S309" s="4">
        <f t="shared" si="278"/>
        <v>1.55581249753104</v>
      </c>
      <c r="T309" s="4" t="str">
        <f t="shared" si="267"/>
        <v>1+0,800803433801871i</v>
      </c>
      <c r="U309" s="4">
        <f t="shared" si="279"/>
        <v>1.28112690221885</v>
      </c>
      <c r="V309" s="4">
        <f t="shared" si="280"/>
        <v>0.675230648918746</v>
      </c>
      <c r="W309" t="str">
        <f t="shared" si="268"/>
        <v>1-1,1171922904602i</v>
      </c>
      <c r="X309" s="4">
        <f t="shared" si="281"/>
        <v>1.49937274013626</v>
      </c>
      <c r="Y309" s="4">
        <f t="shared" si="282"/>
        <v>-0.840694425931351</v>
      </c>
      <c r="Z309" t="str">
        <f t="shared" si="269"/>
        <v>0,99946065840979+0,298091657209672i</v>
      </c>
      <c r="AA309" s="4">
        <f t="shared" si="283"/>
        <v>1.0429670386963</v>
      </c>
      <c r="AB309" s="4">
        <f t="shared" si="284"/>
        <v>0.289852829179366</v>
      </c>
      <c r="AC309" s="67" t="str">
        <f t="shared" si="285"/>
        <v>-0,70573836713267-1,49778789174879i</v>
      </c>
      <c r="AD309" s="68">
        <f t="shared" si="286"/>
        <v>4.3797798663564</v>
      </c>
      <c r="AE309" s="31">
        <f t="shared" si="287"/>
        <v>-115.229209699256</v>
      </c>
      <c r="AF309" s="32" t="str">
        <f t="shared" si="288"/>
        <v>326,048966736478</v>
      </c>
      <c r="AG309" s="32" t="str">
        <f t="shared" si="270"/>
        <v>1+42,9001839536717i</v>
      </c>
      <c r="AH309" s="32">
        <f t="shared" si="289"/>
        <v>42.9118373325924</v>
      </c>
      <c r="AI309" s="32">
        <f t="shared" si="290"/>
        <v>1.54749062389641</v>
      </c>
      <c r="AJ309" s="32" t="str">
        <f t="shared" si="271"/>
        <v>1+0,800803433801871i</v>
      </c>
      <c r="AK309" s="32">
        <f t="shared" si="291"/>
        <v>1.28112690221885</v>
      </c>
      <c r="AL309" s="32">
        <f t="shared" si="292"/>
        <v>0.675230648918746</v>
      </c>
      <c r="AM309" s="32" t="str">
        <f t="shared" si="272"/>
        <v>1-0,13216044391018i</v>
      </c>
      <c r="AN309" s="32">
        <f t="shared" si="293"/>
        <v>1.00869538659326</v>
      </c>
      <c r="AO309" s="32">
        <f t="shared" si="294"/>
        <v>-0.131398953437382</v>
      </c>
      <c r="AP309" s="30" t="str">
        <f t="shared" si="295"/>
        <v>5,27484771391961-8,28158128498099i</v>
      </c>
      <c r="AQ309" s="32">
        <f t="shared" si="296"/>
        <v>19.8411580775283</v>
      </c>
      <c r="AR309" s="31">
        <f t="shared" si="297"/>
        <v>-57.5054206688053</v>
      </c>
      <c r="AS309" t="str">
        <f t="shared" si="273"/>
        <v>-0,000100699300699301</v>
      </c>
      <c r="AT309" t="str">
        <f t="shared" si="274"/>
        <v>0,0114757992076072i</v>
      </c>
      <c r="AU309">
        <f t="shared" si="298"/>
        <v>0.0114757992076072</v>
      </c>
      <c r="AV309">
        <f t="shared" si="299"/>
        <v>1.5707963267949</v>
      </c>
      <c r="AW309" t="str">
        <f t="shared" si="275"/>
        <v>1+0,587539870728385i</v>
      </c>
      <c r="AX309">
        <f t="shared" si="300"/>
        <v>1.15982890966536</v>
      </c>
      <c r="AY309">
        <f t="shared" si="301"/>
        <v>0.531207258930514</v>
      </c>
      <c r="AZ309" t="str">
        <f t="shared" si="276"/>
        <v>1+28,0894061601421i</v>
      </c>
      <c r="BA309">
        <f t="shared" si="302"/>
        <v>28.107200828781</v>
      </c>
      <c r="BB309">
        <f t="shared" si="303"/>
        <v>1.53521074526081</v>
      </c>
      <c r="BC309" s="30" t="str">
        <f t="shared" si="304"/>
        <v>-0,179398092401643+0,114178459052207i</v>
      </c>
      <c r="BD309" s="32">
        <f t="shared" si="305"/>
        <v>-13.4466563814772</v>
      </c>
      <c r="BE309" s="31">
        <f t="shared" si="306"/>
        <v>147.525162383147</v>
      </c>
      <c r="BF309" s="30" t="str">
        <f t="shared" si="307"/>
        <v>0,297623230265182+0,188120171348783i</v>
      </c>
      <c r="BG309" s="68">
        <f t="shared" si="308"/>
        <v>-9.06687651512075</v>
      </c>
      <c r="BH309" s="31">
        <f t="shared" si="309"/>
        <v>32.2959526838903</v>
      </c>
      <c r="BI309" s="30" t="str">
        <f t="shared" si="316"/>
        <v>-0,000719427951619722+2,08797386830514i</v>
      </c>
      <c r="BJ309" s="68">
        <f t="shared" si="310"/>
        <v>6.39450169605115</v>
      </c>
      <c r="BK309" s="31">
        <f t="shared" si="317"/>
        <v>90.0197417143414</v>
      </c>
      <c r="BL309" s="32">
        <f t="shared" si="311"/>
        <v>-9.06687651512075</v>
      </c>
      <c r="BM309" s="31">
        <f t="shared" si="312"/>
        <v>32.2959526838903</v>
      </c>
      <c r="BO309">
        <f t="shared" si="313"/>
        <v>0</v>
      </c>
      <c r="BP309">
        <f t="shared" si="314"/>
        <v>0</v>
      </c>
    </row>
    <row r="310" spans="14:68">
      <c r="N310" s="7">
        <v>92</v>
      </c>
      <c r="O310" s="18">
        <f t="shared" si="315"/>
        <v>8317.63771102671</v>
      </c>
      <c r="P310" s="86" t="str">
        <f t="shared" si="265"/>
        <v>60</v>
      </c>
      <c r="Q310" s="4" t="str">
        <f t="shared" si="266"/>
        <v>1+68,2880451669847i</v>
      </c>
      <c r="R310" s="4">
        <f t="shared" si="277"/>
        <v>68.2953667002978</v>
      </c>
      <c r="S310" s="4">
        <f t="shared" si="278"/>
        <v>1.55615352180679</v>
      </c>
      <c r="T310" s="4" t="str">
        <f t="shared" si="267"/>
        <v>1+0,819456542003818i</v>
      </c>
      <c r="U310" s="4">
        <f t="shared" si="279"/>
        <v>1.29286852550167</v>
      </c>
      <c r="V310" s="4">
        <f t="shared" si="280"/>
        <v>0.686492606211644</v>
      </c>
      <c r="W310" t="str">
        <f t="shared" si="268"/>
        <v>1-1,143215041858i</v>
      </c>
      <c r="X310" s="4">
        <f t="shared" si="281"/>
        <v>1.518861623694</v>
      </c>
      <c r="Y310" s="4">
        <f t="shared" si="282"/>
        <v>-0.85212149479255</v>
      </c>
      <c r="Z310" t="str">
        <f t="shared" si="269"/>
        <v>0,99943524002374+0,305035103880014i</v>
      </c>
      <c r="AA310" s="4">
        <f t="shared" si="283"/>
        <v>1.04494842628735</v>
      </c>
      <c r="AB310" s="4">
        <f t="shared" si="284"/>
        <v>0.296227418762979</v>
      </c>
      <c r="AC310" s="67" t="str">
        <f t="shared" si="285"/>
        <v>-0,713967431772212-1,48860141083707i</v>
      </c>
      <c r="AD310" s="68">
        <f t="shared" si="286"/>
        <v>4.35475449699575</v>
      </c>
      <c r="AE310" s="31">
        <f t="shared" si="287"/>
        <v>-115.62344622625</v>
      </c>
      <c r="AF310" s="32" t="str">
        <f t="shared" si="288"/>
        <v>326,048966736478</v>
      </c>
      <c r="AG310" s="32" t="str">
        <f t="shared" si="270"/>
        <v>1+43,8994576073474i</v>
      </c>
      <c r="AH310" s="32">
        <f t="shared" si="289"/>
        <v>43.9108457925749</v>
      </c>
      <c r="AI310" s="32">
        <f t="shared" si="290"/>
        <v>1.5480209408916</v>
      </c>
      <c r="AJ310" s="32" t="str">
        <f t="shared" si="271"/>
        <v>1+0,819456542003818i</v>
      </c>
      <c r="AK310" s="32">
        <f t="shared" si="291"/>
        <v>1.29286852550167</v>
      </c>
      <c r="AL310" s="32">
        <f t="shared" si="292"/>
        <v>0.686492606211644</v>
      </c>
      <c r="AM310" s="32" t="str">
        <f t="shared" si="272"/>
        <v>1-0,135238856110001i</v>
      </c>
      <c r="AN310" s="32">
        <f t="shared" si="293"/>
        <v>1.00910333871311</v>
      </c>
      <c r="AO310" s="32">
        <f t="shared" si="294"/>
        <v>-0.134423301393128</v>
      </c>
      <c r="AP310" s="30" t="str">
        <f t="shared" si="295"/>
        <v>5,26700728582465-8,13029355314626i</v>
      </c>
      <c r="AQ310" s="32">
        <f t="shared" si="296"/>
        <v>19.7240206351052</v>
      </c>
      <c r="AR310" s="31">
        <f t="shared" si="297"/>
        <v>-57.0638253461371</v>
      </c>
      <c r="AS310" t="str">
        <f t="shared" si="273"/>
        <v>-0,000100699300699301</v>
      </c>
      <c r="AT310" t="str">
        <f t="shared" si="274"/>
        <v>0,0117431049099654i</v>
      </c>
      <c r="AU310">
        <f t="shared" si="298"/>
        <v>0.0117431049099654</v>
      </c>
      <c r="AV310">
        <f t="shared" si="299"/>
        <v>1.5707963267949</v>
      </c>
      <c r="AW310" t="str">
        <f t="shared" si="275"/>
        <v>1+0,601225432401895i</v>
      </c>
      <c r="AX310">
        <f t="shared" si="300"/>
        <v>1.1668213318957</v>
      </c>
      <c r="AY310">
        <f t="shared" si="301"/>
        <v>0.541320066388872</v>
      </c>
      <c r="AZ310" t="str">
        <f t="shared" si="276"/>
        <v>1+28,7436924810012i</v>
      </c>
      <c r="BA310">
        <f t="shared" si="302"/>
        <v>28.7610823412883</v>
      </c>
      <c r="BB310">
        <f t="shared" si="303"/>
        <v>1.53602011146452</v>
      </c>
      <c r="BC310" s="30" t="str">
        <f t="shared" si="304"/>
        <v>-0,177254373452112+0,115145022632304i</v>
      </c>
      <c r="BD310" s="32">
        <f t="shared" si="305"/>
        <v>-13.4991124202818</v>
      </c>
      <c r="BE310" s="31">
        <f t="shared" si="306"/>
        <v>146.992114464307</v>
      </c>
      <c r="BF310" s="30" t="str">
        <f t="shared" si="307"/>
        <v>0,297958892925311+0,181651314307716i</v>
      </c>
      <c r="BG310" s="68">
        <f t="shared" si="308"/>
        <v>-9.14435792328607</v>
      </c>
      <c r="BH310" s="31">
        <f t="shared" si="309"/>
        <v>31.3686682380572</v>
      </c>
      <c r="BI310" s="30" t="str">
        <f t="shared" si="316"/>
        <v>0,00256275876774403+2,04759976287548i</v>
      </c>
      <c r="BJ310" s="68">
        <f t="shared" si="310"/>
        <v>6.22490821482339</v>
      </c>
      <c r="BK310" s="31">
        <f t="shared" si="317"/>
        <v>89.9282891181702</v>
      </c>
      <c r="BL310" s="32">
        <f t="shared" si="311"/>
        <v>-9.14435792328607</v>
      </c>
      <c r="BM310" s="31">
        <f t="shared" si="312"/>
        <v>31.3686682380572</v>
      </c>
      <c r="BO310">
        <f t="shared" si="313"/>
        <v>0</v>
      </c>
      <c r="BP310">
        <f t="shared" si="314"/>
        <v>0</v>
      </c>
    </row>
    <row r="311" spans="14:68">
      <c r="N311" s="7">
        <v>93</v>
      </c>
      <c r="O311" s="18">
        <f t="shared" si="315"/>
        <v>8511.38038202378</v>
      </c>
      <c r="P311" s="86" t="str">
        <f t="shared" si="265"/>
        <v>60</v>
      </c>
      <c r="Q311" s="4" t="str">
        <f t="shared" si="266"/>
        <v>1+69,8786780759272i</v>
      </c>
      <c r="R311" s="4">
        <f t="shared" si="277"/>
        <v>69.8858329680563</v>
      </c>
      <c r="S311" s="4">
        <f t="shared" si="278"/>
        <v>1.5564867867136</v>
      </c>
      <c r="T311" s="4" t="str">
        <f t="shared" si="267"/>
        <v>1+0,838544136911127i</v>
      </c>
      <c r="U311" s="4">
        <f t="shared" si="279"/>
        <v>1.30505029387684</v>
      </c>
      <c r="V311" s="4">
        <f t="shared" si="280"/>
        <v>0.697805634204507</v>
      </c>
      <c r="W311" t="str">
        <f t="shared" si="268"/>
        <v>1-1,16984394100325i</v>
      </c>
      <c r="X311" s="4">
        <f t="shared" si="281"/>
        <v>1.53900449846711</v>
      </c>
      <c r="Y311" s="4">
        <f t="shared" si="282"/>
        <v>-0.863513613671446</v>
      </c>
      <c r="Z311" t="str">
        <f t="shared" si="269"/>
        <v>0,999408623706061+0,31214028420005i</v>
      </c>
      <c r="AA311" s="4">
        <f t="shared" si="283"/>
        <v>1.04701917564032</v>
      </c>
      <c r="AB311" s="4">
        <f t="shared" si="284"/>
        <v>0.302725416883145</v>
      </c>
      <c r="AC311" s="67" t="str">
        <f t="shared" si="285"/>
        <v>-0,722466359621253-1,48000476951613i</v>
      </c>
      <c r="AD311" s="68">
        <f t="shared" si="286"/>
        <v>4.33349213820684</v>
      </c>
      <c r="AE311" s="31">
        <f t="shared" si="287"/>
        <v>-116.019380340407</v>
      </c>
      <c r="AF311" s="32" t="str">
        <f t="shared" si="288"/>
        <v>326,048966736478</v>
      </c>
      <c r="AG311" s="32" t="str">
        <f t="shared" si="270"/>
        <v>1+44,9220073345247i</v>
      </c>
      <c r="AH311" s="32">
        <f t="shared" si="289"/>
        <v>44.9331363579607</v>
      </c>
      <c r="AI311" s="32">
        <f t="shared" si="290"/>
        <v>1.54853919877926</v>
      </c>
      <c r="AJ311" s="32" t="str">
        <f t="shared" si="271"/>
        <v>1+0,838544136911127i</v>
      </c>
      <c r="AK311" s="32">
        <f t="shared" si="291"/>
        <v>1.30505029387684</v>
      </c>
      <c r="AL311" s="32">
        <f t="shared" si="292"/>
        <v>0.697805634204507</v>
      </c>
      <c r="AM311" s="32" t="str">
        <f t="shared" si="272"/>
        <v>1-0,138388973741429i</v>
      </c>
      <c r="AN311" s="32">
        <f t="shared" si="293"/>
        <v>1.00953034033317</v>
      </c>
      <c r="AO311" s="32">
        <f t="shared" si="294"/>
        <v>-0.13751553606059</v>
      </c>
      <c r="AP311" s="30" t="str">
        <f t="shared" si="295"/>
        <v>5,25951937732672-7,9833005376559i</v>
      </c>
      <c r="AQ311" s="32">
        <f t="shared" si="296"/>
        <v>19.609254382186</v>
      </c>
      <c r="AR311" s="31">
        <f t="shared" si="297"/>
        <v>-56.6225025740045</v>
      </c>
      <c r="AS311" t="str">
        <f t="shared" si="273"/>
        <v>-0,000100699300699301</v>
      </c>
      <c r="AT311" t="str">
        <f t="shared" si="274"/>
        <v>0,0120166369619853i</v>
      </c>
      <c r="AU311">
        <f t="shared" si="298"/>
        <v>0.0120166369619853</v>
      </c>
      <c r="AV311">
        <f t="shared" si="299"/>
        <v>1.5707963267949</v>
      </c>
      <c r="AW311" t="str">
        <f t="shared" si="275"/>
        <v>1+0,615229771757827i</v>
      </c>
      <c r="AX311">
        <f t="shared" si="300"/>
        <v>1.17409866368086</v>
      </c>
      <c r="AY311">
        <f t="shared" si="301"/>
        <v>0.551542663294312</v>
      </c>
      <c r="AZ311" t="str">
        <f t="shared" si="276"/>
        <v>1+29,4132190880816i</v>
      </c>
      <c r="BA311">
        <f t="shared" si="302"/>
        <v>29.430213338056</v>
      </c>
      <c r="BB311">
        <f t="shared" si="303"/>
        <v>1.53681109829022</v>
      </c>
      <c r="BC311" s="30" t="str">
        <f t="shared" si="304"/>
        <v>-0,175063857002709+0,116084487046814i</v>
      </c>
      <c r="BD311" s="32">
        <f t="shared" si="305"/>
        <v>-13.5533533922259</v>
      </c>
      <c r="BE311" s="31">
        <f t="shared" si="306"/>
        <v>146.451723012725</v>
      </c>
      <c r="BF311" s="30" t="str">
        <f t="shared" si="307"/>
        <v>0,298283341966121+0,175228206568687i</v>
      </c>
      <c r="BG311" s="68">
        <f t="shared" si="308"/>
        <v>-9.21986125401909</v>
      </c>
      <c r="BH311" s="31">
        <f t="shared" si="309"/>
        <v>30.4323426723185</v>
      </c>
      <c r="BI311" s="30" t="str">
        <f t="shared" si="316"/>
        <v>0,00598559967903767+2,00813599276359i</v>
      </c>
      <c r="BJ311" s="68">
        <f t="shared" si="310"/>
        <v>6.05590098996006</v>
      </c>
      <c r="BK311" s="31">
        <f t="shared" si="317"/>
        <v>89.8292204387209</v>
      </c>
      <c r="BL311" s="32">
        <f t="shared" si="311"/>
        <v>-9.21986125401909</v>
      </c>
      <c r="BM311" s="31">
        <f t="shared" si="312"/>
        <v>30.4323426723185</v>
      </c>
      <c r="BO311">
        <f t="shared" si="313"/>
        <v>0</v>
      </c>
      <c r="BP311">
        <f t="shared" si="314"/>
        <v>0</v>
      </c>
    </row>
    <row r="312" spans="14:68">
      <c r="N312" s="7">
        <v>94</v>
      </c>
      <c r="O312" s="18">
        <f t="shared" si="315"/>
        <v>8709.63589956082</v>
      </c>
      <c r="P312" s="86" t="str">
        <f t="shared" si="265"/>
        <v>60</v>
      </c>
      <c r="Q312" s="4" t="str">
        <f t="shared" si="266"/>
        <v>1+71,5063615849391i</v>
      </c>
      <c r="R312" s="4">
        <f t="shared" si="277"/>
        <v>71.5133536279488</v>
      </c>
      <c r="S312" s="4">
        <f t="shared" si="278"/>
        <v>1.55681246865663</v>
      </c>
      <c r="T312" s="4" t="str">
        <f t="shared" si="267"/>
        <v>1+0,858076339019269i</v>
      </c>
      <c r="U312" s="4">
        <f t="shared" si="279"/>
        <v>1.31768547217639</v>
      </c>
      <c r="V312" s="4">
        <f t="shared" si="280"/>
        <v>0.709164148826621</v>
      </c>
      <c r="W312" t="str">
        <f t="shared" si="268"/>
        <v>1-1,19709310689072i</v>
      </c>
      <c r="X312" s="4">
        <f t="shared" si="281"/>
        <v>1.55981790814354</v>
      </c>
      <c r="Y312" s="4">
        <f t="shared" si="282"/>
        <v>-0.874864995914175</v>
      </c>
      <c r="Z312" t="str">
        <f t="shared" si="269"/>
        <v>0,999380752999976+0,319410965430434i</v>
      </c>
      <c r="AA312" s="4">
        <f t="shared" si="283"/>
        <v>1.04918313668492</v>
      </c>
      <c r="AB312" s="4">
        <f t="shared" si="284"/>
        <v>0.309348116783893</v>
      </c>
      <c r="AC312" s="67" t="str">
        <f t="shared" si="285"/>
        <v>-0,731245256096792-1,47198177202929i</v>
      </c>
      <c r="AD312" s="68">
        <f t="shared" si="286"/>
        <v>4.31596927626878</v>
      </c>
      <c r="AE312" s="31">
        <f t="shared" si="287"/>
        <v>-116.417084639264</v>
      </c>
      <c r="AF312" s="32" t="str">
        <f t="shared" si="288"/>
        <v>326,048966736478</v>
      </c>
      <c r="AG312" s="32" t="str">
        <f t="shared" si="270"/>
        <v>1+45,9683753046037i</v>
      </c>
      <c r="AH312" s="32">
        <f t="shared" si="289"/>
        <v>45.9792510611569</v>
      </c>
      <c r="AI312" s="32">
        <f t="shared" si="290"/>
        <v>1.54904567123235</v>
      </c>
      <c r="AJ312" s="32" t="str">
        <f t="shared" si="271"/>
        <v>1+0,858076339019269i</v>
      </c>
      <c r="AK312" s="32">
        <f t="shared" si="291"/>
        <v>1.31768547217639</v>
      </c>
      <c r="AL312" s="32">
        <f t="shared" si="292"/>
        <v>0.709164148826621</v>
      </c>
      <c r="AM312" s="32" t="str">
        <f t="shared" si="272"/>
        <v>1-0,14161246703853i</v>
      </c>
      <c r="AN312" s="32">
        <f t="shared" si="293"/>
        <v>1.00997727242782</v>
      </c>
      <c r="AO312" s="32">
        <f t="shared" si="294"/>
        <v>-0.140677060317458</v>
      </c>
      <c r="AP312" s="30" t="str">
        <f t="shared" si="295"/>
        <v>5,2523681538897-7,8405253726142i</v>
      </c>
      <c r="AQ312" s="32">
        <f t="shared" si="296"/>
        <v>19.4968858802463</v>
      </c>
      <c r="AR312" s="31">
        <f t="shared" si="297"/>
        <v>-56.1818683553683</v>
      </c>
      <c r="AS312" t="str">
        <f t="shared" si="273"/>
        <v>-0,000100699300699301</v>
      </c>
      <c r="AT312" t="str">
        <f t="shared" si="274"/>
        <v>0,0122965403939815i</v>
      </c>
      <c r="AU312">
        <f t="shared" si="298"/>
        <v>0.0122965403939815</v>
      </c>
      <c r="AV312">
        <f t="shared" si="299"/>
        <v>1.5707963267949</v>
      </c>
      <c r="AW312" t="str">
        <f t="shared" si="275"/>
        <v>1+0,629560314082272i</v>
      </c>
      <c r="AX312">
        <f t="shared" si="300"/>
        <v>1.1816709309564</v>
      </c>
      <c r="AY312">
        <f t="shared" si="301"/>
        <v>0.561871923147491</v>
      </c>
      <c r="AZ312" t="str">
        <f t="shared" si="276"/>
        <v>1+30,0983409732524i</v>
      </c>
      <c r="BA312">
        <f t="shared" si="302"/>
        <v>30.1149486026818</v>
      </c>
      <c r="BB312">
        <f t="shared" si="303"/>
        <v>1.53758412116825</v>
      </c>
      <c r="BC312" s="30" t="str">
        <f t="shared" si="304"/>
        <v>-0,172827391851401+0,116994505489299i</v>
      </c>
      <c r="BD312" s="32">
        <f t="shared" si="305"/>
        <v>-13.6094182378131</v>
      </c>
      <c r="BE312" s="31">
        <f t="shared" si="306"/>
        <v>145.904190966022</v>
      </c>
      <c r="BF312" s="30" t="str">
        <f t="shared" si="307"/>
        <v>0,298592989922747+0,168847093384186i</v>
      </c>
      <c r="BG312" s="68">
        <f t="shared" si="308"/>
        <v>-9.29344896154433</v>
      </c>
      <c r="BH312" s="31">
        <f t="shared" si="309"/>
        <v>29.4871063267579</v>
      </c>
      <c r="BI312" s="30" t="str">
        <f t="shared" si="316"/>
        <v>0,00954529966518525+1,96955576570571i</v>
      </c>
      <c r="BJ312" s="68">
        <f t="shared" si="310"/>
        <v>5.88746764243318</v>
      </c>
      <c r="BK312" s="31">
        <f t="shared" si="317"/>
        <v>89.7223226106539</v>
      </c>
      <c r="BL312" s="32">
        <f t="shared" si="311"/>
        <v>-9.29344896154433</v>
      </c>
      <c r="BM312" s="31">
        <f t="shared" si="312"/>
        <v>29.4871063267579</v>
      </c>
      <c r="BO312">
        <f t="shared" si="313"/>
        <v>0</v>
      </c>
      <c r="BP312">
        <f t="shared" si="314"/>
        <v>0</v>
      </c>
    </row>
    <row r="313" spans="14:68">
      <c r="N313" s="7">
        <v>95</v>
      </c>
      <c r="O313" s="18">
        <f t="shared" si="315"/>
        <v>8912.50938133747</v>
      </c>
      <c r="P313" s="86" t="str">
        <f t="shared" si="265"/>
        <v>60</v>
      </c>
      <c r="Q313" s="4" t="str">
        <f t="shared" si="266"/>
        <v>1+73,1719587133618i</v>
      </c>
      <c r="R313" s="4">
        <f t="shared" si="277"/>
        <v>73.1787916130755</v>
      </c>
      <c r="S313" s="4">
        <f t="shared" si="278"/>
        <v>1.55713074004025</v>
      </c>
      <c r="T313" s="4" t="str">
        <f t="shared" si="267"/>
        <v>1+0,878063504560343i</v>
      </c>
      <c r="U313" s="4">
        <f t="shared" si="279"/>
        <v>1.33078755556279</v>
      </c>
      <c r="V313" s="4">
        <f t="shared" si="280"/>
        <v>0.720562449913858</v>
      </c>
      <c r="W313" t="str">
        <f t="shared" si="268"/>
        <v>1-1,22497698738887i</v>
      </c>
      <c r="X313" s="4">
        <f t="shared" si="281"/>
        <v>1.58131863317685</v>
      </c>
      <c r="Y313" s="4">
        <f t="shared" si="282"/>
        <v>-0.886169959634603</v>
      </c>
      <c r="Z313" t="str">
        <f t="shared" si="269"/>
        <v>0,99935156878798+0,326851002582594i</v>
      </c>
      <c r="AA313" s="4">
        <f t="shared" si="283"/>
        <v>1.05144430947542</v>
      </c>
      <c r="AB313" s="4">
        <f t="shared" si="284"/>
        <v>0.316096751737672</v>
      </c>
      <c r="AC313" s="67" t="str">
        <f t="shared" si="285"/>
        <v>-0,740314195926951-1,46451594851553i</v>
      </c>
      <c r="AD313" s="68">
        <f t="shared" si="286"/>
        <v>4.3021572226403</v>
      </c>
      <c r="AE313" s="31">
        <f t="shared" si="287"/>
        <v>-116.816640709423</v>
      </c>
      <c r="AF313" s="32" t="str">
        <f t="shared" si="288"/>
        <v>326,048966736478</v>
      </c>
      <c r="AG313" s="32" t="str">
        <f t="shared" si="270"/>
        <v>1+47,0391163157327i</v>
      </c>
      <c r="AH313" s="32">
        <f t="shared" si="289"/>
        <v>47.0497445664164</v>
      </c>
      <c r="AI313" s="32">
        <f t="shared" si="290"/>
        <v>1.54954062574933</v>
      </c>
      <c r="AJ313" s="32" t="str">
        <f t="shared" si="271"/>
        <v>1+0,878063504560343i</v>
      </c>
      <c r="AK313" s="32">
        <f t="shared" si="291"/>
        <v>1.33078755556279</v>
      </c>
      <c r="AL313" s="32">
        <f t="shared" si="292"/>
        <v>0.720562449913858</v>
      </c>
      <c r="AM313" s="32" t="str">
        <f t="shared" si="272"/>
        <v>1-0,144911045140117i</v>
      </c>
      <c r="AN313" s="32">
        <f t="shared" si="293"/>
        <v>1.01044505590537</v>
      </c>
      <c r="AO313" s="32">
        <f t="shared" si="294"/>
        <v>-0.143909297511712</v>
      </c>
      <c r="AP313" s="30" t="str">
        <f t="shared" si="295"/>
        <v>5,24553849088383-7,70189335706523i</v>
      </c>
      <c r="AQ313" s="32">
        <f t="shared" si="296"/>
        <v>19.3869398510989</v>
      </c>
      <c r="AR313" s="31">
        <f t="shared" si="297"/>
        <v>-55.7423461639403</v>
      </c>
      <c r="AS313" t="str">
        <f t="shared" si="273"/>
        <v>-0,000100699300699301</v>
      </c>
      <c r="AT313" t="str">
        <f t="shared" si="274"/>
        <v>0,0125829636144585i</v>
      </c>
      <c r="AU313">
        <f t="shared" si="298"/>
        <v>0.0125829636144585</v>
      </c>
      <c r="AV313">
        <f t="shared" si="299"/>
        <v>1.5707963267949</v>
      </c>
      <c r="AW313" t="str">
        <f t="shared" si="275"/>
        <v>1+0,644224657618459i</v>
      </c>
      <c r="AX313">
        <f t="shared" si="300"/>
        <v>1.18954840569168</v>
      </c>
      <c r="AY313">
        <f t="shared" si="301"/>
        <v>0.572304505770327</v>
      </c>
      <c r="AZ313" t="str">
        <f t="shared" si="276"/>
        <v>1+30,7994213972059i</v>
      </c>
      <c r="BA313">
        <f t="shared" si="302"/>
        <v>30.815651192254</v>
      </c>
      <c r="BB313">
        <f t="shared" si="303"/>
        <v>1.53833958626798</v>
      </c>
      <c r="BC313" s="30" t="str">
        <f t="shared" si="304"/>
        <v>-0,170545962186094+0,117872742666772i</v>
      </c>
      <c r="BD313" s="32">
        <f t="shared" si="305"/>
        <v>-13.6673451157716</v>
      </c>
      <c r="BE313" s="31">
        <f t="shared" si="306"/>
        <v>145.349732974096</v>
      </c>
      <c r="BF313" s="30" t="str">
        <f t="shared" si="307"/>
        <v>0,298884108395141+0,162504416867405i</v>
      </c>
      <c r="BG313" s="68">
        <f t="shared" si="308"/>
        <v>-9.36518789313132</v>
      </c>
      <c r="BH313" s="31">
        <f t="shared" si="309"/>
        <v>28.5330922646736</v>
      </c>
      <c r="BI313" s="30" t="str">
        <f t="shared" si="316"/>
        <v>0,0132378846122962+1,93183282191997i</v>
      </c>
      <c r="BJ313" s="68">
        <f t="shared" si="310"/>
        <v>5.71959473532726</v>
      </c>
      <c r="BK313" s="31">
        <f t="shared" si="317"/>
        <v>89.607386810156</v>
      </c>
      <c r="BL313" s="32">
        <f t="shared" si="311"/>
        <v>-9.36518789313132</v>
      </c>
      <c r="BM313" s="31">
        <f t="shared" si="312"/>
        <v>28.5330922646736</v>
      </c>
      <c r="BO313">
        <f t="shared" si="313"/>
        <v>0</v>
      </c>
      <c r="BP313">
        <f t="shared" si="314"/>
        <v>0</v>
      </c>
    </row>
    <row r="314" spans="14:68">
      <c r="N314" s="7">
        <v>96</v>
      </c>
      <c r="O314" s="18">
        <f t="shared" si="315"/>
        <v>9120.10839355911</v>
      </c>
      <c r="P314" s="86" t="str">
        <f t="shared" si="265"/>
        <v>60</v>
      </c>
      <c r="Q314" s="4" t="str">
        <f t="shared" si="266"/>
        <v>1+74,8763525828398i</v>
      </c>
      <c r="R314" s="4">
        <f t="shared" si="277"/>
        <v>74.8830299607978</v>
      </c>
      <c r="S314" s="4">
        <f t="shared" si="278"/>
        <v>1.5574417693581</v>
      </c>
      <c r="T314" s="4" t="str">
        <f t="shared" si="267"/>
        <v>1+0,898516230994079i</v>
      </c>
      <c r="U314" s="4">
        <f t="shared" si="279"/>
        <v>1.34437026795441</v>
      </c>
      <c r="V314" s="4">
        <f t="shared" si="280"/>
        <v>0.731994734833681</v>
      </c>
      <c r="W314" t="str">
        <f t="shared" si="268"/>
        <v>1-1,25351036690022i</v>
      </c>
      <c r="X314" s="4">
        <f t="shared" si="281"/>
        <v>1.60352369484405</v>
      </c>
      <c r="Y314" s="4">
        <f t="shared" si="282"/>
        <v>-0.897422941226884</v>
      </c>
      <c r="Z314" t="str">
        <f t="shared" si="269"/>
        <v>0,999321009166447+0,334464340462707i</v>
      </c>
      <c r="AA314" s="4">
        <f t="shared" si="283"/>
        <v>1.05380684871688</v>
      </c>
      <c r="AB314" s="4">
        <f t="shared" si="284"/>
        <v>0.322972489564426</v>
      </c>
      <c r="AC314" s="67" t="str">
        <f t="shared" si="285"/>
        <v>-0,749683201626357-1,45759053048888i</v>
      </c>
      <c r="AD314" s="68">
        <f t="shared" si="286"/>
        <v>4.29202211426806</v>
      </c>
      <c r="AE314" s="31">
        <f t="shared" si="287"/>
        <v>-117.218138811231</v>
      </c>
      <c r="AF314" s="32" t="str">
        <f t="shared" si="288"/>
        <v>326,048966736478</v>
      </c>
      <c r="AG314" s="32" t="str">
        <f t="shared" si="270"/>
        <v>1+48,1347980889685i</v>
      </c>
      <c r="AH314" s="32">
        <f t="shared" si="289"/>
        <v>48.1451844639292</v>
      </c>
      <c r="AI314" s="32">
        <f t="shared" si="290"/>
        <v>1.55002432379106</v>
      </c>
      <c r="AJ314" s="32" t="str">
        <f t="shared" si="271"/>
        <v>1+0,898516230994079i</v>
      </c>
      <c r="AK314" s="32">
        <f t="shared" si="291"/>
        <v>1.34437026795441</v>
      </c>
      <c r="AL314" s="32">
        <f t="shared" si="292"/>
        <v>0.731994734833681</v>
      </c>
      <c r="AM314" s="32" t="str">
        <f t="shared" si="272"/>
        <v>1-0,148286456995961i</v>
      </c>
      <c r="AN314" s="32">
        <f t="shared" si="293"/>
        <v>1.01093465334235</v>
      </c>
      <c r="AO314" s="32">
        <f t="shared" si="294"/>
        <v>-0.147213691130526</v>
      </c>
      <c r="AP314" s="30" t="str">
        <f t="shared" si="295"/>
        <v>5,23901594187766-7,56733192014017i</v>
      </c>
      <c r="AQ314" s="32">
        <f t="shared" si="296"/>
        <v>19.2794391215072</v>
      </c>
      <c r="AR314" s="31">
        <f t="shared" si="297"/>
        <v>-55.3043661524009</v>
      </c>
      <c r="AS314" t="str">
        <f t="shared" si="273"/>
        <v>-0,000100699300699301</v>
      </c>
      <c r="AT314" t="str">
        <f t="shared" si="274"/>
        <v>0,0128760584887991i</v>
      </c>
      <c r="AU314">
        <f t="shared" si="298"/>
        <v>0.0128760584887991</v>
      </c>
      <c r="AV314">
        <f t="shared" si="299"/>
        <v>1.5707963267949</v>
      </c>
      <c r="AW314" t="str">
        <f t="shared" si="275"/>
        <v>1+0,659230577595437i</v>
      </c>
      <c r="AX314">
        <f t="shared" si="300"/>
        <v>1.19774160587199</v>
      </c>
      <c r="AY314">
        <f t="shared" si="301"/>
        <v>0.58283685862589</v>
      </c>
      <c r="AZ314" t="str">
        <f t="shared" si="276"/>
        <v>1+31,5168320820627i</v>
      </c>
      <c r="BA314">
        <f t="shared" si="302"/>
        <v>31.5326926298554</v>
      </c>
      <c r="BB314">
        <f t="shared" si="303"/>
        <v>1.53907789069574</v>
      </c>
      <c r="BC314" s="30" t="str">
        <f t="shared" si="304"/>
        <v>-0,168220689358125+0,118716884159835i</v>
      </c>
      <c r="BD314" s="32">
        <f t="shared" si="305"/>
        <v>-13.7271712910635</v>
      </c>
      <c r="BE314" s="31">
        <f t="shared" si="306"/>
        <v>144.788575334836</v>
      </c>
      <c r="BF314" s="30" t="str">
        <f t="shared" si="307"/>
        <v>0,299152831138313+0,156196830036664i</v>
      </c>
      <c r="BG314" s="68">
        <f t="shared" si="308"/>
        <v>-9.43514917679547</v>
      </c>
      <c r="BH314" s="31">
        <f t="shared" si="309"/>
        <v>27.5704365236054</v>
      </c>
      <c r="BI314" s="30" t="str">
        <f t="shared" si="316"/>
        <v>0,0170591936614358+1,89494144089114i</v>
      </c>
      <c r="BJ314" s="68">
        <f t="shared" si="310"/>
        <v>5.55226783044369</v>
      </c>
      <c r="BK314" s="31">
        <f t="shared" si="317"/>
        <v>89.4842091824354</v>
      </c>
      <c r="BL314" s="32">
        <f t="shared" si="311"/>
        <v>-9.43514917679547</v>
      </c>
      <c r="BM314" s="31">
        <f t="shared" si="312"/>
        <v>27.5704365236054</v>
      </c>
      <c r="BO314">
        <f t="shared" si="313"/>
        <v>0</v>
      </c>
      <c r="BP314">
        <f t="shared" si="314"/>
        <v>0</v>
      </c>
    </row>
    <row r="315" spans="14:68">
      <c r="N315" s="7">
        <v>97</v>
      </c>
      <c r="O315" s="18">
        <f t="shared" si="315"/>
        <v>9332.54300796992</v>
      </c>
      <c r="P315" s="86" t="str">
        <f t="shared" si="265"/>
        <v>60</v>
      </c>
      <c r="Q315" s="4" t="str">
        <f t="shared" si="266"/>
        <v>1+76,6204468855629i</v>
      </c>
      <c r="R315" s="4">
        <f t="shared" si="277"/>
        <v>76.6269722809362</v>
      </c>
      <c r="S315" s="4">
        <f t="shared" si="278"/>
        <v>1.55774572128119</v>
      </c>
      <c r="T315" s="4" t="str">
        <f t="shared" si="267"/>
        <v>1+0,919445362626756i</v>
      </c>
      <c r="U315" s="4">
        <f t="shared" si="279"/>
        <v>1.35844756058372</v>
      </c>
      <c r="V315" s="4">
        <f t="shared" si="280"/>
        <v>0.743455112744979</v>
      </c>
      <c r="W315" t="str">
        <f t="shared" si="268"/>
        <v>1-1,28270837420027i</v>
      </c>
      <c r="X315" s="4">
        <f t="shared" si="281"/>
        <v>1.62645035990758</v>
      </c>
      <c r="Y315" s="4">
        <f t="shared" si="282"/>
        <v>-0.908618508156821</v>
      </c>
      <c r="Z315" t="str">
        <f t="shared" si="269"/>
        <v>0,999289009314322+0,342255015763292i</v>
      </c>
      <c r="AA315" s="4">
        <f t="shared" si="283"/>
        <v>1.05627506831863</v>
      </c>
      <c r="AB315" s="4">
        <f t="shared" si="284"/>
        <v>0.329976426952013</v>
      </c>
      <c r="AC315" s="67" t="str">
        <f t="shared" si="285"/>
        <v>-0,75936221973636-1,45118842707898i</v>
      </c>
      <c r="AD315" s="68">
        <f t="shared" si="286"/>
        <v>4.28552493228087</v>
      </c>
      <c r="AE315" s="31">
        <f t="shared" si="287"/>
        <v>-117.621677474281</v>
      </c>
      <c r="AF315" s="32" t="str">
        <f t="shared" si="288"/>
        <v>326,048966736478</v>
      </c>
      <c r="AG315" s="32" t="str">
        <f t="shared" si="270"/>
        <v>1+49,2560015692905i</v>
      </c>
      <c r="AH315" s="32">
        <f t="shared" si="289"/>
        <v>49.2661515707686</v>
      </c>
      <c r="AI315" s="32">
        <f t="shared" si="290"/>
        <v>1.55049702091477</v>
      </c>
      <c r="AJ315" s="32" t="str">
        <f t="shared" si="271"/>
        <v>1+0,919445362626756i</v>
      </c>
      <c r="AK315" s="32">
        <f t="shared" si="291"/>
        <v>1.35844756058372</v>
      </c>
      <c r="AL315" s="32">
        <f t="shared" si="292"/>
        <v>0.743455112744979</v>
      </c>
      <c r="AM315" s="32" t="str">
        <f t="shared" si="272"/>
        <v>1-0,151740492294109i</v>
      </c>
      <c r="AN315" s="32">
        <f t="shared" si="293"/>
        <v>1.01144707078604</v>
      </c>
      <c r="AO315" s="32">
        <f t="shared" si="294"/>
        <v>-0.150591704411235</v>
      </c>
      <c r="AP315" s="30" t="str">
        <f t="shared" si="295"/>
        <v>5,23278670833556-7,43677058701777i</v>
      </c>
      <c r="AQ315" s="32">
        <f t="shared" si="296"/>
        <v>19.174404576543</v>
      </c>
      <c r="AR315" s="31">
        <f t="shared" si="297"/>
        <v>-54.8683643207592</v>
      </c>
      <c r="AS315" t="str">
        <f t="shared" si="273"/>
        <v>-0,000100699300699301</v>
      </c>
      <c r="AT315" t="str">
        <f t="shared" si="274"/>
        <v>0,0131759804197852i</v>
      </c>
      <c r="AU315">
        <f t="shared" si="298"/>
        <v>0.0131759804197852</v>
      </c>
      <c r="AV315">
        <f t="shared" si="299"/>
        <v>1.5707963267949</v>
      </c>
      <c r="AW315" t="str">
        <f t="shared" si="275"/>
        <v>1+0,674586030350605i</v>
      </c>
      <c r="AX315">
        <f t="shared" si="300"/>
        <v>1.20626129521932</v>
      </c>
      <c r="AY315">
        <f t="shared" si="301"/>
        <v>0.593465219053373</v>
      </c>
      <c r="AZ315" t="str">
        <f t="shared" si="276"/>
        <v>1+32,250953408464i</v>
      </c>
      <c r="BA315">
        <f t="shared" si="302"/>
        <v>32.266453101556</v>
      </c>
      <c r="BB315">
        <f t="shared" si="303"/>
        <v>1.53979942268891</v>
      </c>
      <c r="BC315" s="30" t="str">
        <f t="shared" si="304"/>
        <v>-0,165852832912726+0,119524646127808i</v>
      </c>
      <c r="BD315" s="32">
        <f t="shared" si="305"/>
        <v>-13.7889330216843</v>
      </c>
      <c r="BE315" s="31">
        <f t="shared" si="306"/>
        <v>144.22095587719</v>
      </c>
      <c r="BF315" s="30" t="str">
        <f t="shared" si="307"/>
        <v>0,299395158561557+0,149921211124397i</v>
      </c>
      <c r="BG315" s="68">
        <f t="shared" si="308"/>
        <v>-9.50340808940343</v>
      </c>
      <c r="BH315" s="31">
        <f t="shared" si="309"/>
        <v>26.5992784029093</v>
      </c>
      <c r="BI315" s="30" t="str">
        <f t="shared" si="316"/>
        <v>0,0210048731414787+1,85885644915504i</v>
      </c>
      <c r="BJ315" s="68">
        <f t="shared" si="310"/>
        <v>5.38547155485865</v>
      </c>
      <c r="BK315" s="31">
        <f t="shared" si="317"/>
        <v>89.3525915564307</v>
      </c>
      <c r="BL315" s="32">
        <f t="shared" si="311"/>
        <v>-9.50340808940343</v>
      </c>
      <c r="BM315" s="31">
        <f t="shared" si="312"/>
        <v>26.5992784029093</v>
      </c>
      <c r="BO315">
        <f t="shared" si="313"/>
        <v>0</v>
      </c>
      <c r="BP315">
        <f t="shared" si="314"/>
        <v>0</v>
      </c>
    </row>
    <row r="316" spans="14:68">
      <c r="N316" s="7">
        <v>98</v>
      </c>
      <c r="O316" s="18">
        <f t="shared" si="315"/>
        <v>9549.92586021437</v>
      </c>
      <c r="P316" s="86" t="str">
        <f t="shared" si="265"/>
        <v>60</v>
      </c>
      <c r="Q316" s="4" t="str">
        <f t="shared" si="266"/>
        <v>1+78,4051663634163i</v>
      </c>
      <c r="R316" s="4">
        <f t="shared" si="277"/>
        <v>78.411543234877</v>
      </c>
      <c r="S316" s="4">
        <f t="shared" si="278"/>
        <v>1.55804275674407</v>
      </c>
      <c r="T316" s="4" t="str">
        <f t="shared" si="267"/>
        <v>1+0,940861996360996i</v>
      </c>
      <c r="U316" s="4">
        <f t="shared" si="279"/>
        <v>1.37303361073078</v>
      </c>
      <c r="V316" s="4">
        <f t="shared" si="280"/>
        <v>0.754937619410716</v>
      </c>
      <c r="W316" t="str">
        <f t="shared" si="268"/>
        <v>1-1,31258649045898i</v>
      </c>
      <c r="X316" s="4">
        <f t="shared" si="281"/>
        <v>1.65011614589259</v>
      </c>
      <c r="Y316" s="4">
        <f t="shared" si="282"/>
        <v>-0.919751370966425</v>
      </c>
      <c r="Z316" t="str">
        <f t="shared" si="269"/>
        <v>0,999255501355628+0,350227159203516i</v>
      </c>
      <c r="AA316" s="4">
        <f t="shared" si="283"/>
        <v>1.05885344596561</v>
      </c>
      <c r="AB316" s="4">
        <f t="shared" si="284"/>
        <v>0.337109583585775</v>
      </c>
      <c r="AC316" s="67" t="str">
        <f t="shared" si="285"/>
        <v>-0,769361094779866-1,44529220221194i</v>
      </c>
      <c r="AD316" s="68">
        <f t="shared" si="286"/>
        <v>4.28262153913468</v>
      </c>
      <c r="AE316" s="31">
        <f t="shared" si="287"/>
        <v>-118.027363005101</v>
      </c>
      <c r="AF316" s="32" t="str">
        <f t="shared" si="288"/>
        <v>326,048966736478</v>
      </c>
      <c r="AG316" s="32" t="str">
        <f t="shared" si="270"/>
        <v>1+50,4033212336248i</v>
      </c>
      <c r="AH316" s="32">
        <f t="shared" si="289"/>
        <v>50.4132402388497</v>
      </c>
      <c r="AI316" s="32">
        <f t="shared" si="290"/>
        <v>1.55095896690529</v>
      </c>
      <c r="AJ316" s="32" t="str">
        <f t="shared" si="271"/>
        <v>1+0,940861996360996i</v>
      </c>
      <c r="AK316" s="32">
        <f t="shared" si="291"/>
        <v>1.37303361073078</v>
      </c>
      <c r="AL316" s="32">
        <f t="shared" si="292"/>
        <v>0.754937619410716</v>
      </c>
      <c r="AM316" s="32" t="str">
        <f t="shared" si="272"/>
        <v>1-0,155274982409793i</v>
      </c>
      <c r="AN316" s="32">
        <f t="shared" si="293"/>
        <v>1.0119833596272</v>
      </c>
      <c r="AO316" s="32">
        <f t="shared" si="294"/>
        <v>-0.154044819890276</v>
      </c>
      <c r="AP316" s="30" t="str">
        <f t="shared" si="295"/>
        <v>5,22683761065996-7,31014094570113i</v>
      </c>
      <c r="AQ316" s="32">
        <f t="shared" si="296"/>
        <v>19.0718551222045</v>
      </c>
      <c r="AR316" s="31">
        <f t="shared" si="297"/>
        <v>-54.4347816493216</v>
      </c>
      <c r="AS316" t="str">
        <f t="shared" si="273"/>
        <v>-0,000100699300699301</v>
      </c>
      <c r="AT316" t="str">
        <f t="shared" si="274"/>
        <v>0,0134828884299946i</v>
      </c>
      <c r="AU316">
        <f t="shared" si="298"/>
        <v>0.0134828884299946</v>
      </c>
      <c r="AV316">
        <f t="shared" si="299"/>
        <v>1.5707963267949</v>
      </c>
      <c r="AW316" t="str">
        <f t="shared" si="275"/>
        <v>1+0,690299157548266i</v>
      </c>
      <c r="AX316">
        <f t="shared" si="300"/>
        <v>1.21511848266408</v>
      </c>
      <c r="AY316">
        <f t="shared" si="301"/>
        <v>0.604185617447938</v>
      </c>
      <c r="AZ316" t="str">
        <f t="shared" si="276"/>
        <v>1+33,0021746172543i</v>
      </c>
      <c r="BA316">
        <f t="shared" si="302"/>
        <v>33.0173216579986</v>
      </c>
      <c r="BB316">
        <f t="shared" si="303"/>
        <v>1.54050456180648</v>
      </c>
      <c r="BC316" s="30" t="str">
        <f t="shared" si="304"/>
        <v>-0,163443790826062+0,120293785294496i</v>
      </c>
      <c r="BD316" s="32">
        <f t="shared" si="305"/>
        <v>-13.8526654448917</v>
      </c>
      <c r="BE316" s="31">
        <f t="shared" si="306"/>
        <v>143.647123789889</v>
      </c>
      <c r="BF316" s="30" t="str">
        <f t="shared" si="307"/>
        <v>0,299606963705603+0,143674678031479i</v>
      </c>
      <c r="BG316" s="68">
        <f t="shared" si="308"/>
        <v>-9.57004390575703</v>
      </c>
      <c r="BH316" s="31">
        <f t="shared" si="309"/>
        <v>25.6197607847885</v>
      </c>
      <c r="BI316" s="30" t="str">
        <f t="shared" si="316"/>
        <v>0,0250703722761756+1,82355322894413i</v>
      </c>
      <c r="BJ316" s="68">
        <f t="shared" si="310"/>
        <v>5.21918967731281</v>
      </c>
      <c r="BK316" s="31">
        <f t="shared" si="317"/>
        <v>89.2123421405674</v>
      </c>
      <c r="BL316" s="32">
        <f t="shared" si="311"/>
        <v>-9.57004390575703</v>
      </c>
      <c r="BM316" s="31">
        <f t="shared" si="312"/>
        <v>25.6197607847885</v>
      </c>
      <c r="BO316">
        <f t="shared" si="313"/>
        <v>0</v>
      </c>
      <c r="BP316">
        <f t="shared" si="314"/>
        <v>0</v>
      </c>
    </row>
    <row r="317" spans="14:68">
      <c r="N317" s="7">
        <v>99</v>
      </c>
      <c r="O317" s="18">
        <f t="shared" si="315"/>
        <v>9772.37220955812</v>
      </c>
      <c r="P317" s="86" t="str">
        <f t="shared" si="265"/>
        <v>60</v>
      </c>
      <c r="Q317" s="4" t="str">
        <f t="shared" si="266"/>
        <v>1+80,2314572982906i</v>
      </c>
      <c r="R317" s="4">
        <f t="shared" si="277"/>
        <v>80.2376890258401</v>
      </c>
      <c r="S317" s="4">
        <f t="shared" si="278"/>
        <v>1.5583330330291</v>
      </c>
      <c r="T317" s="4" t="str">
        <f t="shared" si="267"/>
        <v>1+0,962777487579488i</v>
      </c>
      <c r="U317" s="4">
        <f t="shared" si="279"/>
        <v>1.3881428206744</v>
      </c>
      <c r="V317" s="4">
        <f t="shared" si="280"/>
        <v>0.766436232475009</v>
      </c>
      <c r="W317" t="str">
        <f t="shared" si="268"/>
        <v>1-1,34316055744906i</v>
      </c>
      <c r="X317" s="4">
        <f t="shared" si="281"/>
        <v>1.67453882698696</v>
      </c>
      <c r="Y317" s="4">
        <f t="shared" si="282"/>
        <v>-0.930816394434724</v>
      </c>
      <c r="Z317" t="str">
        <f t="shared" si="269"/>
        <v>0,999220414215493+0,358384997719354i</v>
      </c>
      <c r="AA317" s="4">
        <f t="shared" si="283"/>
        <v>1.06154662769719</v>
      </c>
      <c r="AB317" s="4">
        <f t="shared" si="284"/>
        <v>0.344372896097091</v>
      </c>
      <c r="AC317" s="67" t="str">
        <f t="shared" si="285"/>
        <v>-0,779689540892842-1,43988405292621i</v>
      </c>
      <c r="AD317" s="68">
        <f t="shared" si="286"/>
        <v>4.28326273416926</v>
      </c>
      <c r="AE317" s="31">
        <f t="shared" si="287"/>
        <v>-118.435308909417</v>
      </c>
      <c r="AF317" s="32" t="str">
        <f t="shared" si="288"/>
        <v>326,048966736478</v>
      </c>
      <c r="AG317" s="32" t="str">
        <f t="shared" si="270"/>
        <v>1+51,577365406044i</v>
      </c>
      <c r="AH317" s="32">
        <f t="shared" si="289"/>
        <v>51.5870586700636</v>
      </c>
      <c r="AI317" s="32">
        <f t="shared" si="290"/>
        <v>1.55141040590343</v>
      </c>
      <c r="AJ317" s="32" t="str">
        <f t="shared" si="271"/>
        <v>1+0,962777487579488i</v>
      </c>
      <c r="AK317" s="32">
        <f t="shared" si="291"/>
        <v>1.3881428206744</v>
      </c>
      <c r="AL317" s="32">
        <f t="shared" si="292"/>
        <v>0.766436232475009</v>
      </c>
      <c r="AM317" s="32" t="str">
        <f t="shared" si="272"/>
        <v>1-0,158891801376459i</v>
      </c>
      <c r="AN317" s="32">
        <f t="shared" si="293"/>
        <v>1.01254461854511</v>
      </c>
      <c r="AO317" s="32">
        <f t="shared" si="294"/>
        <v>-0.157574538885828</v>
      </c>
      <c r="AP317" s="30" t="str">
        <f t="shared" si="295"/>
        <v>5,22115606051872-7,187376614613i</v>
      </c>
      <c r="AQ317" s="32">
        <f t="shared" si="296"/>
        <v>18.9718076577421</v>
      </c>
      <c r="AR317" s="31">
        <f t="shared" si="297"/>
        <v>-54.004063201097</v>
      </c>
      <c r="AS317" t="str">
        <f t="shared" si="273"/>
        <v>-0,000100699300699301</v>
      </c>
      <c r="AT317" t="str">
        <f t="shared" si="274"/>
        <v>0,0137969452461168i</v>
      </c>
      <c r="AU317">
        <f t="shared" si="298"/>
        <v>0.0137969452461168</v>
      </c>
      <c r="AV317">
        <f t="shared" si="299"/>
        <v>1.5707963267949</v>
      </c>
      <c r="AW317" t="str">
        <f t="shared" si="275"/>
        <v>1+0,706378290496449i</v>
      </c>
      <c r="AX317">
        <f t="shared" si="300"/>
        <v>1.22432442158306</v>
      </c>
      <c r="AY317">
        <f t="shared" si="301"/>
        <v>0.614993881408743</v>
      </c>
      <c r="AZ317" t="str">
        <f t="shared" si="276"/>
        <v>1+33,7708940158621i</v>
      </c>
      <c r="BA317">
        <f t="shared" si="302"/>
        <v>33.7856964206836</v>
      </c>
      <c r="BB317">
        <f t="shared" si="303"/>
        <v>1.54119367911608</v>
      </c>
      <c r="BC317" s="30" t="str">
        <f t="shared" si="304"/>
        <v>-0,160995098904407+0,121022109143042i</v>
      </c>
      <c r="BD317" s="32">
        <f t="shared" si="305"/>
        <v>-13.918402463542</v>
      </c>
      <c r="BE317" s="31">
        <f t="shared" si="306"/>
        <v>143.067339394501</v>
      </c>
      <c r="BF317" s="30" t="str">
        <f t="shared" si="307"/>
        <v>0,299783999757336+0,137454602796112i</v>
      </c>
      <c r="BG317" s="68">
        <f t="shared" si="308"/>
        <v>-9.63513972937274</v>
      </c>
      <c r="BH317" s="31">
        <f t="shared" si="309"/>
        <v>24.6320304850837</v>
      </c>
      <c r="BI317" s="30" t="str">
        <f t="shared" si="316"/>
        <v>0,0292509407472868+1,78900772754179i</v>
      </c>
      <c r="BJ317" s="68">
        <f t="shared" si="310"/>
        <v>5.05340519420005</v>
      </c>
      <c r="BK317" s="31">
        <f t="shared" si="317"/>
        <v>89.0632761934039</v>
      </c>
      <c r="BL317" s="32">
        <f t="shared" si="311"/>
        <v>-9.63513972937274</v>
      </c>
      <c r="BM317" s="31">
        <f t="shared" si="312"/>
        <v>24.6320304850837</v>
      </c>
      <c r="BO317">
        <f t="shared" si="313"/>
        <v>0</v>
      </c>
      <c r="BP317">
        <f t="shared" si="314"/>
        <v>0</v>
      </c>
    </row>
    <row r="318" spans="14:68">
      <c r="N318" s="7">
        <v>100</v>
      </c>
      <c r="O318" s="18">
        <f t="shared" si="315"/>
        <v>10000</v>
      </c>
      <c r="P318" s="86" t="str">
        <f t="shared" si="265"/>
        <v>60</v>
      </c>
      <c r="Q318" s="4" t="str">
        <f t="shared" si="266"/>
        <v>1+82,1002880138133i</v>
      </c>
      <c r="R318" s="4">
        <f t="shared" si="277"/>
        <v>82.1063779005693</v>
      </c>
      <c r="S318" s="4">
        <f t="shared" si="278"/>
        <v>1.55861670384882</v>
      </c>
      <c r="T318" s="4" t="str">
        <f t="shared" si="267"/>
        <v>1+0,98520345616576i</v>
      </c>
      <c r="U318" s="4">
        <f t="shared" si="279"/>
        <v>1.40378981690314</v>
      </c>
      <c r="V318" s="4">
        <f t="shared" si="280"/>
        <v>0.777944887110802</v>
      </c>
      <c r="W318" t="str">
        <f t="shared" si="268"/>
        <v>1-1,37444678594554i</v>
      </c>
      <c r="X318" s="4">
        <f t="shared" si="281"/>
        <v>1.69973644056837</v>
      </c>
      <c r="Y318" s="4">
        <f t="shared" si="282"/>
        <v>-0.94180860784686</v>
      </c>
      <c r="Z318" t="str">
        <f t="shared" si="269"/>
        <v>0,999183673469388+0,366732856704769i</v>
      </c>
      <c r="AA318" s="4">
        <f t="shared" si="283"/>
        <v>1.06435943248257</v>
      </c>
      <c r="AB318" s="4">
        <f t="shared" si="284"/>
        <v>0.351767211842854</v>
      </c>
      <c r="AC318" s="67" t="str">
        <f t="shared" si="285"/>
        <v>-0,790357111108067-1,43494578903138i</v>
      </c>
      <c r="AD318" s="68">
        <f t="shared" si="286"/>
        <v>4.2873943274225</v>
      </c>
      <c r="AE318" s="31">
        <f t="shared" si="287"/>
        <v>-118.845635232295</v>
      </c>
      <c r="AF318" s="32" t="str">
        <f t="shared" si="288"/>
        <v>326,048966736478</v>
      </c>
      <c r="AG318" s="32" t="str">
        <f t="shared" si="270"/>
        <v>1+52,7787565803086i</v>
      </c>
      <c r="AH318" s="32">
        <f t="shared" si="289"/>
        <v>52.7882292387561</v>
      </c>
      <c r="AI318" s="32">
        <f t="shared" si="290"/>
        <v>1.55185157653169</v>
      </c>
      <c r="AJ318" s="32" t="str">
        <f t="shared" si="271"/>
        <v>1+0,98520345616576i</v>
      </c>
      <c r="AK318" s="32">
        <f t="shared" si="291"/>
        <v>1.40378981690314</v>
      </c>
      <c r="AL318" s="32">
        <f t="shared" si="292"/>
        <v>0.777944887110802</v>
      </c>
      <c r="AM318" s="32" t="str">
        <f t="shared" si="272"/>
        <v>1-0,162592866879396i</v>
      </c>
      <c r="AN318" s="32">
        <f t="shared" si="293"/>
        <v>1.01313199552677</v>
      </c>
      <c r="AO318" s="32">
        <f t="shared" si="294"/>
        <v>-0.161182380909656</v>
      </c>
      <c r="AP318" s="30" t="str">
        <f t="shared" si="295"/>
        <v>5,21573003440212-7,06841321100999i</v>
      </c>
      <c r="AQ318" s="32">
        <f t="shared" si="296"/>
        <v>18.8742770580519</v>
      </c>
      <c r="AR318" s="31">
        <f t="shared" si="297"/>
        <v>-53.5766571987519</v>
      </c>
      <c r="AS318" t="str">
        <f t="shared" si="273"/>
        <v>-0,000100699300699301</v>
      </c>
      <c r="AT318" t="str">
        <f t="shared" si="274"/>
        <v>0,0141183173852325i</v>
      </c>
      <c r="AU318">
        <f t="shared" si="298"/>
        <v>0.0141183173852325</v>
      </c>
      <c r="AV318">
        <f t="shared" si="299"/>
        <v>1.5707963267949</v>
      </c>
      <c r="AW318" t="str">
        <f t="shared" si="275"/>
        <v>1+0,722831954564274i</v>
      </c>
      <c r="AX318">
        <f t="shared" si="300"/>
        <v>1.23389060882203</v>
      </c>
      <c r="AY318">
        <f t="shared" si="301"/>
        <v>0.625885640871304</v>
      </c>
      <c r="AZ318" t="str">
        <f t="shared" si="276"/>
        <v>1+34,5575191894877i</v>
      </c>
      <c r="BA318">
        <f t="shared" si="302"/>
        <v>34.5719847930635</v>
      </c>
      <c r="BB318">
        <f t="shared" si="303"/>
        <v>1.54186713737732</v>
      </c>
      <c r="BC318" s="30" t="str">
        <f t="shared" si="304"/>
        <v>-0,158508429307988+0,12170748624165i</v>
      </c>
      <c r="BD318" s="32">
        <f t="shared" si="305"/>
        <v>-13.9861766332459</v>
      </c>
      <c r="BE318" s="31">
        <f t="shared" si="306"/>
        <v>142.481873861872</v>
      </c>
      <c r="BF318" s="30" t="str">
        <f t="shared" si="307"/>
        <v>0,299921909150189+0,1312586259353i</v>
      </c>
      <c r="BG318" s="68">
        <f t="shared" si="308"/>
        <v>-9.69878230582342</v>
      </c>
      <c r="BH318" s="31">
        <f t="shared" si="309"/>
        <v>23.6362386295766</v>
      </c>
      <c r="BI318" s="30" t="str">
        <f t="shared" si="316"/>
        <v>0,0335416281817171+1,75519646717918i</v>
      </c>
      <c r="BJ318" s="68">
        <f t="shared" si="310"/>
        <v>4.88810042480596</v>
      </c>
      <c r="BK318" s="31">
        <f t="shared" si="317"/>
        <v>88.9052166631202</v>
      </c>
      <c r="BL318" s="32">
        <f t="shared" si="311"/>
        <v>-9.69878230582342</v>
      </c>
      <c r="BM318" s="31">
        <f t="shared" si="312"/>
        <v>23.6362386295766</v>
      </c>
      <c r="BO318">
        <f t="shared" si="313"/>
        <v>0</v>
      </c>
      <c r="BP318">
        <f t="shared" si="314"/>
        <v>0</v>
      </c>
    </row>
    <row r="319" spans="14:68">
      <c r="N319" s="7">
        <v>1</v>
      </c>
      <c r="O319" s="18">
        <f>10^(4+(N319/100))</f>
        <v>10232.9299228075</v>
      </c>
      <c r="P319" s="86" t="str">
        <f t="shared" si="265"/>
        <v>60</v>
      </c>
      <c r="Q319" s="4" t="str">
        <f t="shared" si="266"/>
        <v>1+84,0126493887663i</v>
      </c>
      <c r="R319" s="4">
        <f t="shared" si="277"/>
        <v>84.0186006627091</v>
      </c>
      <c r="S319" s="4">
        <f t="shared" si="278"/>
        <v>1.55889391942654</v>
      </c>
      <c r="T319" s="4" t="str">
        <f t="shared" si="267"/>
        <v>1+1,0081517926652i</v>
      </c>
      <c r="U319" s="4">
        <f t="shared" si="279"/>
        <v>1.41998944962773</v>
      </c>
      <c r="V319" s="4">
        <f t="shared" si="280"/>
        <v>0.789457491939963</v>
      </c>
      <c r="W319" t="str">
        <f t="shared" si="268"/>
        <v>1-1,40646176432087i</v>
      </c>
      <c r="X319" s="4">
        <f t="shared" si="281"/>
        <v>1.72572729435927</v>
      </c>
      <c r="Y319" s="4">
        <f t="shared" si="282"/>
        <v>-0.952723214332592</v>
      </c>
      <c r="Z319" t="str">
        <f t="shared" si="269"/>
        <v>0,999145201185265+0,37527516230509i</v>
      </c>
      <c r="AA319" s="4">
        <f t="shared" si="283"/>
        <v>1.06729685678102</v>
      </c>
      <c r="AB319" s="4">
        <f t="shared" si="284"/>
        <v>0.3592932825301</v>
      </c>
      <c r="AC319" s="67" t="str">
        <f t="shared" si="285"/>
        <v>-0,801373164282464-1,43045881433134i</v>
      </c>
      <c r="AD319" s="68">
        <f t="shared" si="286"/>
        <v>4.29495723144069</v>
      </c>
      <c r="AE319" s="31">
        <f t="shared" si="287"/>
        <v>-119.258467820376</v>
      </c>
      <c r="AF319" s="32" t="str">
        <f t="shared" si="288"/>
        <v>326,048966736478</v>
      </c>
      <c r="AG319" s="32" t="str">
        <f t="shared" si="270"/>
        <v>1+54,0081317499212i</v>
      </c>
      <c r="AH319" s="32">
        <f t="shared" si="289"/>
        <v>54.0173888217197</v>
      </c>
      <c r="AI319" s="32">
        <f t="shared" si="290"/>
        <v>1.55228271201725</v>
      </c>
      <c r="AJ319" s="32" t="str">
        <f t="shared" si="271"/>
        <v>1+1,0081517926652i</v>
      </c>
      <c r="AK319" s="32">
        <f t="shared" si="291"/>
        <v>1.41998944962773</v>
      </c>
      <c r="AL319" s="32">
        <f t="shared" si="292"/>
        <v>0.789457491939963</v>
      </c>
      <c r="AM319" s="32" t="str">
        <f t="shared" si="272"/>
        <v>1-0,166380141272522i</v>
      </c>
      <c r="AN319" s="32">
        <f t="shared" si="293"/>
        <v>1.01374668996247</v>
      </c>
      <c r="AO319" s="32">
        <f t="shared" si="294"/>
        <v>-0.164869883003491</v>
      </c>
      <c r="AP319" s="30" t="str">
        <f t="shared" si="295"/>
        <v>5,21054804835511-6,9531883202168i</v>
      </c>
      <c r="AQ319" s="32">
        <f t="shared" si="296"/>
        <v>18.779276166421</v>
      </c>
      <c r="AR319" s="31">
        <f t="shared" si="297"/>
        <v>-53.1530140814824</v>
      </c>
      <c r="AS319" t="str">
        <f t="shared" si="273"/>
        <v>-0,000100699300699301</v>
      </c>
      <c r="AT319" t="str">
        <f t="shared" si="274"/>
        <v>0,0144471752431039i</v>
      </c>
      <c r="AU319">
        <f t="shared" si="298"/>
        <v>0.0144471752431039</v>
      </c>
      <c r="AV319">
        <f t="shared" si="299"/>
        <v>1.5707963267949</v>
      </c>
      <c r="AW319" t="str">
        <f t="shared" si="275"/>
        <v>1+0,739668873702219i</v>
      </c>
      <c r="AX319">
        <f t="shared" si="300"/>
        <v>1.24382878352445</v>
      </c>
      <c r="AY319">
        <f t="shared" si="301"/>
        <v>0.636856334232602</v>
      </c>
      <c r="AZ319" t="str">
        <f t="shared" si="276"/>
        <v>1+35,3624672172103i</v>
      </c>
      <c r="BA319">
        <f t="shared" si="302"/>
        <v>35.3766036765582</v>
      </c>
      <c r="BB319">
        <f t="shared" si="303"/>
        <v>1.54252529122174</v>
      </c>
      <c r="BC319" s="30" t="str">
        <f t="shared" si="304"/>
        <v>-0,1559855881701+0,12234785661601i</v>
      </c>
      <c r="BD319" s="32">
        <f t="shared" si="305"/>
        <v>-14.0560190510847</v>
      </c>
      <c r="BE319" s="31">
        <f t="shared" si="306"/>
        <v>141.891008871493</v>
      </c>
      <c r="BF319" s="30" t="str">
        <f t="shared" si="307"/>
        <v>0,300016234285253+0,125084670507029i</v>
      </c>
      <c r="BG319" s="68">
        <f t="shared" si="308"/>
        <v>-9.761061819644</v>
      </c>
      <c r="BH319" s="31">
        <f t="shared" si="309"/>
        <v>22.6325410511169</v>
      </c>
      <c r="BI319" s="30" t="str">
        <f t="shared" si="316"/>
        <v>0,037937285614762+1,72209655529747i</v>
      </c>
      <c r="BJ319" s="68">
        <f t="shared" si="310"/>
        <v>4.72325711533626</v>
      </c>
      <c r="BK319" s="31">
        <f t="shared" si="317"/>
        <v>88.7379947900104</v>
      </c>
      <c r="BL319" s="32">
        <f t="shared" si="311"/>
        <v>-9.761061819644</v>
      </c>
      <c r="BM319" s="31">
        <f t="shared" si="312"/>
        <v>22.6325410511169</v>
      </c>
      <c r="BO319">
        <f t="shared" si="313"/>
        <v>0</v>
      </c>
      <c r="BP319">
        <f t="shared" si="314"/>
        <v>0</v>
      </c>
    </row>
    <row r="320" spans="14:68">
      <c r="N320" s="7">
        <v>2</v>
      </c>
      <c r="O320" s="18">
        <f t="shared" ref="O320:O383" si="318">10^(4+(N320/100))</f>
        <v>10471.285480509</v>
      </c>
      <c r="P320" s="86" t="str">
        <f t="shared" si="265"/>
        <v>60</v>
      </c>
      <c r="Q320" s="4" t="str">
        <f t="shared" si="266"/>
        <v>1+85,969555382465i</v>
      </c>
      <c r="R320" s="4">
        <f t="shared" si="277"/>
        <v>85.9753711981444</v>
      </c>
      <c r="S320" s="4">
        <f t="shared" si="278"/>
        <v>1.55916482657509</v>
      </c>
      <c r="T320" s="4" t="str">
        <f t="shared" si="267"/>
        <v>1+1,03163466458958i</v>
      </c>
      <c r="U320" s="4">
        <f t="shared" si="279"/>
        <v>1.43675679263501</v>
      </c>
      <c r="V320" s="4">
        <f t="shared" si="280"/>
        <v>0.800967945124353</v>
      </c>
      <c r="W320" t="str">
        <f t="shared" si="268"/>
        <v>1-1,43922246734037i</v>
      </c>
      <c r="X320" s="4">
        <f t="shared" si="281"/>
        <v>1.75252997420795</v>
      </c>
      <c r="Y320" s="4">
        <f t="shared" si="282"/>
        <v>-0.963555599244834</v>
      </c>
      <c r="Z320" t="str">
        <f t="shared" si="269"/>
        <v>0,99910491575825+0,384016443763823i</v>
      </c>
      <c r="AA320" s="4">
        <f t="shared" si="283"/>
        <v>1.07036407907465</v>
      </c>
      <c r="AB320" s="4">
        <f t="shared" si="284"/>
        <v>0.366951757702462</v>
      </c>
      <c r="AC320" s="67" t="str">
        <f t="shared" si="285"/>
        <v>-0,812746829677956-1,42640410964659i</v>
      </c>
      <c r="AD320" s="68">
        <f t="shared" si="286"/>
        <v>4.30588757072251</v>
      </c>
      <c r="AE320" s="31">
        <f t="shared" si="287"/>
        <v>-119.673937511295</v>
      </c>
      <c r="AF320" s="32" t="str">
        <f t="shared" si="288"/>
        <v>326,048966736478</v>
      </c>
      <c r="AG320" s="32" t="str">
        <f t="shared" si="270"/>
        <v>1+55,2661427458704i</v>
      </c>
      <c r="AH320" s="32">
        <f t="shared" si="289"/>
        <v>55.2751891358765</v>
      </c>
      <c r="AI320" s="32">
        <f t="shared" si="290"/>
        <v>1.55270404031238</v>
      </c>
      <c r="AJ320" s="32" t="str">
        <f t="shared" si="271"/>
        <v>1+1,03163466458958i</v>
      </c>
      <c r="AK320" s="32">
        <f t="shared" si="291"/>
        <v>1.43675679263501</v>
      </c>
      <c r="AL320" s="32">
        <f t="shared" si="292"/>
        <v>0.800967945124353</v>
      </c>
      <c r="AM320" s="32" t="str">
        <f t="shared" si="272"/>
        <v>1-0,170255632618855i</v>
      </c>
      <c r="AN320" s="32">
        <f t="shared" si="293"/>
        <v>1.01438995481937</v>
      </c>
      <c r="AO320" s="32">
        <f t="shared" si="294"/>
        <v>-0.168638598995059</v>
      </c>
      <c r="AP320" s="30" t="str">
        <f t="shared" si="295"/>
        <v>5,20559913383315-6,84164146567933i</v>
      </c>
      <c r="AQ320" s="32">
        <f t="shared" si="296"/>
        <v>18.6868157978085</v>
      </c>
      <c r="AR320" s="31">
        <f t="shared" si="297"/>
        <v>-52.7335855473343</v>
      </c>
      <c r="AS320" t="str">
        <f t="shared" si="273"/>
        <v>-0,000100699300699301</v>
      </c>
      <c r="AT320" t="str">
        <f t="shared" si="274"/>
        <v>0,0147836931845203i</v>
      </c>
      <c r="AU320">
        <f t="shared" si="298"/>
        <v>0.0147836931845203</v>
      </c>
      <c r="AV320">
        <f t="shared" si="299"/>
        <v>1.5707963267949</v>
      </c>
      <c r="AW320" t="str">
        <f t="shared" si="275"/>
        <v>1+0,756897975067683i</v>
      </c>
      <c r="AX320">
        <f t="shared" si="300"/>
        <v>1.25415092579066</v>
      </c>
      <c r="AY320">
        <f t="shared" si="301"/>
        <v>0.647901215469077</v>
      </c>
      <c r="AZ320" t="str">
        <f t="shared" si="276"/>
        <v>1+36,1861648931294i</v>
      </c>
      <c r="BA320">
        <f t="shared" si="302"/>
        <v>36.1999796916069</v>
      </c>
      <c r="BB320">
        <f t="shared" si="303"/>
        <v>1.54316848732918</v>
      </c>
      <c r="BC320" s="30" t="str">
        <f t="shared" si="304"/>
        <v>-0,153428512291067+0,122941242079235i</v>
      </c>
      <c r="BD320" s="32">
        <f t="shared" si="305"/>
        <v>-14.1279592466454</v>
      </c>
      <c r="BE320" s="31">
        <f t="shared" si="306"/>
        <v>141.295036213775</v>
      </c>
      <c r="BF320" s="30" t="str">
        <f t="shared" si="307"/>
        <v>0,300062429893647+0,118930955732372i</v>
      </c>
      <c r="BG320" s="68">
        <f t="shared" si="308"/>
        <v>-9.82207167592293</v>
      </c>
      <c r="BH320" s="31">
        <f t="shared" si="309"/>
        <v>21.6210987024807</v>
      </c>
      <c r="BI320" s="30" t="str">
        <f t="shared" si="316"/>
        <v>0,0424325689637275+1,68968569498809i</v>
      </c>
      <c r="BJ320" s="68">
        <f t="shared" si="310"/>
        <v>4.55885655116302</v>
      </c>
      <c r="BK320" s="31">
        <f t="shared" si="317"/>
        <v>88.5614506664409</v>
      </c>
      <c r="BL320" s="32">
        <f t="shared" si="311"/>
        <v>-9.82207167592293</v>
      </c>
      <c r="BM320" s="31">
        <f t="shared" si="312"/>
        <v>21.6210987024807</v>
      </c>
      <c r="BO320">
        <f t="shared" si="313"/>
        <v>0</v>
      </c>
      <c r="BP320">
        <f t="shared" si="314"/>
        <v>0</v>
      </c>
    </row>
    <row r="321" spans="14:68">
      <c r="N321" s="7">
        <v>3</v>
      </c>
      <c r="O321" s="18">
        <f t="shared" si="318"/>
        <v>10715.1930523761</v>
      </c>
      <c r="P321" s="86" t="str">
        <f t="shared" si="265"/>
        <v>60</v>
      </c>
      <c r="Q321" s="4" t="str">
        <f t="shared" si="266"/>
        <v>1+87,9720435723688i</v>
      </c>
      <c r="R321" s="4">
        <f t="shared" si="277"/>
        <v>87.9777270125726</v>
      </c>
      <c r="S321" s="4">
        <f t="shared" si="278"/>
        <v>1.5594295687739</v>
      </c>
      <c r="T321" s="4" t="str">
        <f t="shared" si="267"/>
        <v>1+1,05566452286843i</v>
      </c>
      <c r="U321" s="4">
        <f t="shared" si="279"/>
        <v>1.45410714352245</v>
      </c>
      <c r="V321" s="4">
        <f t="shared" si="280"/>
        <v>0.812470150524399</v>
      </c>
      <c r="W321" t="str">
        <f t="shared" si="268"/>
        <v>1-1,47274626516243i</v>
      </c>
      <c r="X321" s="4">
        <f t="shared" si="281"/>
        <v>1.78016335249041</v>
      </c>
      <c r="Y321" s="4">
        <f t="shared" si="282"/>
        <v>-0.974301337557905</v>
      </c>
      <c r="Z321" t="str">
        <f t="shared" si="269"/>
        <v>0,999062731737554+0,392961335824097i</v>
      </c>
      <c r="AA321" s="4">
        <f t="shared" si="283"/>
        <v>1.07356646436053</v>
      </c>
      <c r="AB321" s="4">
        <f t="shared" si="284"/>
        <v>0.374743178107601</v>
      </c>
      <c r="AC321" s="67" t="str">
        <f t="shared" si="285"/>
        <v>-0,824486969225713-1,42276221788157i</v>
      </c>
      <c r="AD321" s="68">
        <f t="shared" si="286"/>
        <v>4.32011680833091</v>
      </c>
      <c r="AE321" s="31">
        <f t="shared" si="287"/>
        <v>-120.092179256147</v>
      </c>
      <c r="AF321" s="32" t="str">
        <f t="shared" si="288"/>
        <v>326,048966736478</v>
      </c>
      <c r="AG321" s="32" t="str">
        <f t="shared" si="270"/>
        <v>1+56,5534565822372i</v>
      </c>
      <c r="AH321" s="32">
        <f t="shared" si="289"/>
        <v>56.562297083826</v>
      </c>
      <c r="AI321" s="32">
        <f t="shared" si="290"/>
        <v>1.55311578421222</v>
      </c>
      <c r="AJ321" s="32" t="str">
        <f t="shared" si="271"/>
        <v>1+1,05566452286843i</v>
      </c>
      <c r="AK321" s="32">
        <f t="shared" si="291"/>
        <v>1.45410714352245</v>
      </c>
      <c r="AL321" s="32">
        <f t="shared" si="292"/>
        <v>0.812470150524399</v>
      </c>
      <c r="AM321" s="32" t="str">
        <f t="shared" si="272"/>
        <v>1-0,174221395755201i</v>
      </c>
      <c r="AN321" s="32">
        <f t="shared" si="293"/>
        <v>1.01506309889528</v>
      </c>
      <c r="AO321" s="32">
        <f t="shared" si="294"/>
        <v>-0.172490098668656</v>
      </c>
      <c r="AP321" s="30" t="str">
        <f t="shared" si="295"/>
        <v>5,20087281463282-6,73371407983677i</v>
      </c>
      <c r="AQ321" s="32">
        <f t="shared" si="296"/>
        <v>18.5969047527622</v>
      </c>
      <c r="AR321" s="31">
        <f t="shared" si="297"/>
        <v>-52.3188235866138</v>
      </c>
      <c r="AS321" t="str">
        <f t="shared" si="273"/>
        <v>-0,000100699300699301</v>
      </c>
      <c r="AT321" t="str">
        <f t="shared" si="274"/>
        <v>0,0151280496357484i</v>
      </c>
      <c r="AU321">
        <f t="shared" si="298"/>
        <v>0.0151280496357484</v>
      </c>
      <c r="AV321">
        <f t="shared" si="299"/>
        <v>1.5707963267949</v>
      </c>
      <c r="AW321" t="str">
        <f t="shared" si="275"/>
        <v>1+0,774528393758255i</v>
      </c>
      <c r="AX321">
        <f t="shared" si="300"/>
        <v>1.26486925519507</v>
      </c>
      <c r="AY321">
        <f t="shared" si="301"/>
        <v>0.659015362238896</v>
      </c>
      <c r="AZ321" t="str">
        <f t="shared" si="276"/>
        <v>1+37,0290489526552i</v>
      </c>
      <c r="BA321">
        <f t="shared" si="302"/>
        <v>37.0425494038698</v>
      </c>
      <c r="BB321">
        <f t="shared" si="303"/>
        <v>1.54379706460079</v>
      </c>
      <c r="BC321" s="30" t="str">
        <f t="shared" si="304"/>
        <v>-0,150839264896403+0,123485756426114i</v>
      </c>
      <c r="BD321" s="32">
        <f t="shared" si="305"/>
        <v>-14.2020250761506</v>
      </c>
      <c r="BE321" s="31">
        <f t="shared" si="306"/>
        <v>140.694257335737</v>
      </c>
      <c r="BF321" s="30" t="str">
        <f t="shared" si="307"/>
        <v>0,300055877044271+0,112796010009321i</v>
      </c>
      <c r="BG321" s="68">
        <f t="shared" si="308"/>
        <v>-9.88190826781965</v>
      </c>
      <c r="BH321" s="31">
        <f t="shared" si="309"/>
        <v>20.6020780795894</v>
      </c>
      <c r="BI321" s="30" t="str">
        <f t="shared" si="316"/>
        <v>0,0470219445269167+1,65794219541608i</v>
      </c>
      <c r="BJ321" s="68">
        <f t="shared" si="310"/>
        <v>4.39487967661156</v>
      </c>
      <c r="BK321" s="31">
        <f t="shared" si="317"/>
        <v>88.375433749123</v>
      </c>
      <c r="BL321" s="32">
        <f t="shared" si="311"/>
        <v>-9.88190826781965</v>
      </c>
      <c r="BM321" s="31">
        <f t="shared" si="312"/>
        <v>20.6020780795894</v>
      </c>
      <c r="BO321">
        <f t="shared" si="313"/>
        <v>0</v>
      </c>
      <c r="BP321">
        <f t="shared" si="314"/>
        <v>0</v>
      </c>
    </row>
    <row r="322" spans="14:68">
      <c r="N322" s="7">
        <v>4</v>
      </c>
      <c r="O322" s="18">
        <f t="shared" si="318"/>
        <v>10964.7819614319</v>
      </c>
      <c r="P322" s="86" t="str">
        <f t="shared" si="265"/>
        <v>60</v>
      </c>
      <c r="Q322" s="4" t="str">
        <f t="shared" si="266"/>
        <v>1+90,0211757042223i</v>
      </c>
      <c r="R322" s="4">
        <f t="shared" si="277"/>
        <v>90.0267297816069</v>
      </c>
      <c r="S322" s="4">
        <f t="shared" si="278"/>
        <v>1.55968828624424</v>
      </c>
      <c r="T322" s="4" t="str">
        <f t="shared" si="267"/>
        <v>1+1,08025410845067i</v>
      </c>
      <c r="U322" s="4">
        <f t="shared" si="279"/>
        <v>1.4720560243498</v>
      </c>
      <c r="V322" s="4">
        <f t="shared" si="280"/>
        <v>0.823958033820874</v>
      </c>
      <c r="W322" t="str">
        <f t="shared" si="268"/>
        <v>1-1,50705093254837i</v>
      </c>
      <c r="X322" s="4">
        <f t="shared" si="281"/>
        <v>1.80864659712585</v>
      </c>
      <c r="Y322" s="4">
        <f t="shared" si="282"/>
        <v>-0.984956200274439</v>
      </c>
      <c r="Z322" t="str">
        <f t="shared" si="269"/>
        <v>0,99901855964521+0,402114581186084i</v>
      </c>
      <c r="AA322" s="4">
        <f t="shared" si="283"/>
        <v>1.07690956858877</v>
      </c>
      <c r="AB322" s="4">
        <f t="shared" si="284"/>
        <v>0.382667968967544</v>
      </c>
      <c r="AC322" s="67" t="str">
        <f t="shared" si="285"/>
        <v>-0,83660213752682-1,41951323139333i</v>
      </c>
      <c r="AD322" s="68">
        <f t="shared" si="286"/>
        <v>4.33757188911452</v>
      </c>
      <c r="AE322" s="31">
        <f t="shared" si="287"/>
        <v>-120.513331181605</v>
      </c>
      <c r="AF322" s="32" t="str">
        <f t="shared" si="288"/>
        <v>326,048966736478</v>
      </c>
      <c r="AG322" s="32" t="str">
        <f t="shared" si="270"/>
        <v>1+57,8707558098573i</v>
      </c>
      <c r="AH322" s="32">
        <f t="shared" si="289"/>
        <v>57.8793951074485</v>
      </c>
      <c r="AI322" s="32">
        <f t="shared" si="290"/>
        <v>1.5535181614701</v>
      </c>
      <c r="AJ322" s="32" t="str">
        <f t="shared" si="271"/>
        <v>1+1,08025410845067i</v>
      </c>
      <c r="AK322" s="32">
        <f t="shared" si="291"/>
        <v>1.4720560243498</v>
      </c>
      <c r="AL322" s="32">
        <f t="shared" si="292"/>
        <v>0.823958033820874</v>
      </c>
      <c r="AM322" s="32" t="str">
        <f t="shared" si="272"/>
        <v>1-0,178279533381669i</v>
      </c>
      <c r="AN322" s="32">
        <f t="shared" si="293"/>
        <v>1.01576748915428</v>
      </c>
      <c r="AO322" s="32">
        <f t="shared" si="294"/>
        <v>-0.176425966845034</v>
      </c>
      <c r="AP322" s="30" t="str">
        <f t="shared" si="295"/>
        <v>5,19635908484903-6,62934947580955i</v>
      </c>
      <c r="AQ322" s="32">
        <f t="shared" si="296"/>
        <v>18.5095498419673</v>
      </c>
      <c r="AR322" s="31">
        <f t="shared" si="297"/>
        <v>-51.9091795120615</v>
      </c>
      <c r="AS322" t="str">
        <f t="shared" si="273"/>
        <v>-0,000100699300699301</v>
      </c>
      <c r="AT322" t="str">
        <f t="shared" si="274"/>
        <v>0,0154804271791368i</v>
      </c>
      <c r="AU322">
        <f t="shared" si="298"/>
        <v>0.0154804271791368</v>
      </c>
      <c r="AV322">
        <f t="shared" si="299"/>
        <v>1.5707963267949</v>
      </c>
      <c r="AW322" t="str">
        <f t="shared" si="275"/>
        <v>1+0,792569477655292i</v>
      </c>
      <c r="AX322">
        <f t="shared" si="300"/>
        <v>1.27599622919144</v>
      </c>
      <c r="AY322">
        <f t="shared" si="301"/>
        <v>0.670193684950956</v>
      </c>
      <c r="AZ322" t="str">
        <f t="shared" si="276"/>
        <v>1+37,8915663040731i</v>
      </c>
      <c r="BA322">
        <f t="shared" si="302"/>
        <v>37.9047595557071</v>
      </c>
      <c r="BB322">
        <f t="shared" si="303"/>
        <v>1.54441135432858</v>
      </c>
      <c r="BC322" s="30" t="str">
        <f t="shared" si="304"/>
        <v>-0,148220030459074+0,123979615395695i</v>
      </c>
      <c r="BD322" s="32">
        <f t="shared" si="305"/>
        <v>-14.2782426204581</v>
      </c>
      <c r="BE322" s="31">
        <f t="shared" si="306"/>
        <v>140.088982831101</v>
      </c>
      <c r="BF322" s="30" t="str">
        <f t="shared" si="307"/>
        <v>0,299991898783597+0,106678683144386i</v>
      </c>
      <c r="BG322" s="68">
        <f t="shared" si="308"/>
        <v>-9.94067073134363</v>
      </c>
      <c r="BH322" s="31">
        <f t="shared" si="309"/>
        <v>19.5756516494961</v>
      </c>
      <c r="BI322" s="30" t="str">
        <f t="shared" si="316"/>
        <v>0,0516996965019112+1,62684498202585i</v>
      </c>
      <c r="BJ322" s="68">
        <f t="shared" si="310"/>
        <v>4.23130722150914</v>
      </c>
      <c r="BK322" s="31">
        <f t="shared" si="317"/>
        <v>88.1798033190395</v>
      </c>
      <c r="BL322" s="32">
        <f t="shared" si="311"/>
        <v>-9.94067073134363</v>
      </c>
      <c r="BM322" s="31">
        <f t="shared" si="312"/>
        <v>19.5756516494961</v>
      </c>
      <c r="BO322">
        <f t="shared" si="313"/>
        <v>0</v>
      </c>
      <c r="BP322">
        <f t="shared" si="314"/>
        <v>0</v>
      </c>
    </row>
    <row r="323" spans="14:68">
      <c r="N323" s="7">
        <v>5</v>
      </c>
      <c r="O323" s="18">
        <f t="shared" si="318"/>
        <v>11220.1845430196</v>
      </c>
      <c r="P323" s="86" t="str">
        <f t="shared" si="265"/>
        <v>60</v>
      </c>
      <c r="Q323" s="4" t="str">
        <f t="shared" si="266"/>
        <v>1+92,1180382550045i</v>
      </c>
      <c r="R323" s="4">
        <f t="shared" si="277"/>
        <v>92.1234659136882</v>
      </c>
      <c r="S323" s="4">
        <f t="shared" si="278"/>
        <v>1.55994111602293</v>
      </c>
      <c r="T323" s="4" t="str">
        <f t="shared" si="267"/>
        <v>1+1,10541645906006i</v>
      </c>
      <c r="U323" s="4">
        <f t="shared" si="279"/>
        <v>1.49061918274282</v>
      </c>
      <c r="V323" s="4">
        <f t="shared" si="280"/>
        <v>0.835425558496071</v>
      </c>
      <c r="W323" t="str">
        <f t="shared" si="268"/>
        <v>1-1,54215465828691i</v>
      </c>
      <c r="X323" s="4">
        <f t="shared" si="281"/>
        <v>1.83799918119569</v>
      </c>
      <c r="Y323" s="4">
        <f t="shared" si="282"/>
        <v>-0.99551615983868</v>
      </c>
      <c r="Z323" t="str">
        <f t="shared" si="269"/>
        <v>0,99897230578629+0,411481033021627i</v>
      </c>
      <c r="AA323" s="4">
        <f t="shared" si="283"/>
        <v>1.08039914303211</v>
      </c>
      <c r="AB323" s="4">
        <f t="shared" si="284"/>
        <v>0.390726433176496</v>
      </c>
      <c r="AC323" s="67" t="str">
        <f t="shared" si="285"/>
        <v>-0,849100539667626-1,41663678192723i</v>
      </c>
      <c r="AD323" s="68">
        <f t="shared" si="286"/>
        <v>4.3581753988952</v>
      </c>
      <c r="AE323" s="31">
        <f t="shared" si="287"/>
        <v>-120.937533598898</v>
      </c>
      <c r="AF323" s="32" t="str">
        <f t="shared" si="288"/>
        <v>326,048966736478</v>
      </c>
      <c r="AG323" s="32" t="str">
        <f t="shared" si="270"/>
        <v>1+59,2187388782172i</v>
      </c>
      <c r="AH323" s="32">
        <f t="shared" si="289"/>
        <v>59.2271815497452</v>
      </c>
      <c r="AI323" s="32">
        <f t="shared" si="290"/>
        <v>1.55391138491027</v>
      </c>
      <c r="AJ323" s="32" t="str">
        <f t="shared" si="271"/>
        <v>1+1,10541645906006i</v>
      </c>
      <c r="AK323" s="32">
        <f t="shared" si="291"/>
        <v>1.49061918274282</v>
      </c>
      <c r="AL323" s="32">
        <f t="shared" si="292"/>
        <v>0.835425558496071</v>
      </c>
      <c r="AM323" s="32" t="str">
        <f t="shared" si="272"/>
        <v>1-0,182432197176544i</v>
      </c>
      <c r="AN323" s="32">
        <f t="shared" si="293"/>
        <v>1.01650455314606</v>
      </c>
      <c r="AO323" s="32">
        <f t="shared" si="294"/>
        <v>-0.180447802365077</v>
      </c>
      <c r="AP323" s="30" t="str">
        <f t="shared" si="295"/>
        <v>5,19204838781447-6,52849281990266i</v>
      </c>
      <c r="AQ323" s="32">
        <f t="shared" si="296"/>
        <v>18.4247559213347</v>
      </c>
      <c r="AR323" s="31">
        <f t="shared" si="297"/>
        <v>-51.5051029914325</v>
      </c>
      <c r="AS323" t="str">
        <f t="shared" si="273"/>
        <v>-0,000100699300699301</v>
      </c>
      <c r="AT323" t="str">
        <f t="shared" si="274"/>
        <v>0,0158410126499231i</v>
      </c>
      <c r="AU323">
        <f t="shared" si="298"/>
        <v>0.0158410126499231</v>
      </c>
      <c r="AV323">
        <f t="shared" si="299"/>
        <v>1.5707963267949</v>
      </c>
      <c r="AW323" t="str">
        <f t="shared" si="275"/>
        <v>1+0,811030792380272i</v>
      </c>
      <c r="AX323">
        <f t="shared" si="300"/>
        <v>1.28754454143885</v>
      </c>
      <c r="AY323">
        <f t="shared" si="301"/>
        <v>0.681430936773699</v>
      </c>
      <c r="AZ323" t="str">
        <f t="shared" si="276"/>
        <v>1+38,7741742654993i</v>
      </c>
      <c r="BA323">
        <f t="shared" si="302"/>
        <v>38.7870673030497</v>
      </c>
      <c r="BB323">
        <f t="shared" si="303"/>
        <v>1.54501168036159</v>
      </c>
      <c r="BC323" s="30" t="str">
        <f t="shared" si="304"/>
        <v>-0,145573108596782+0,1244211463047i</v>
      </c>
      <c r="BD323" s="32">
        <f t="shared" si="305"/>
        <v>-14.3566360877073</v>
      </c>
      <c r="BE323" s="31">
        <f t="shared" si="306"/>
        <v>139.479531876355</v>
      </c>
      <c r="BF323" s="30" t="str">
        <f t="shared" si="307"/>
        <v>0,299865777375409+0,100578157624303i</v>
      </c>
      <c r="BG323" s="68">
        <f t="shared" si="308"/>
        <v>-9.9984606888121</v>
      </c>
      <c r="BH323" s="31">
        <f t="shared" si="309"/>
        <v>18.5419982774574</v>
      </c>
      <c r="BI323" s="30" t="str">
        <f t="shared" si="316"/>
        <v>0,0564599364952296+1,59637360632635i</v>
      </c>
      <c r="BJ323" s="68">
        <f t="shared" si="310"/>
        <v>4.06811983362745</v>
      </c>
      <c r="BK323" s="31">
        <f t="shared" si="317"/>
        <v>87.974428884923</v>
      </c>
      <c r="BL323" s="32">
        <f t="shared" si="311"/>
        <v>-9.9984606888121</v>
      </c>
      <c r="BM323" s="31">
        <f t="shared" si="312"/>
        <v>18.5419982774574</v>
      </c>
      <c r="BO323">
        <f t="shared" si="313"/>
        <v>0</v>
      </c>
      <c r="BP323">
        <f t="shared" si="314"/>
        <v>0</v>
      </c>
    </row>
    <row r="324" spans="14:68">
      <c r="N324" s="7">
        <v>6</v>
      </c>
      <c r="O324" s="18">
        <f t="shared" si="318"/>
        <v>11481.5362149688</v>
      </c>
      <c r="P324" s="86" t="str">
        <f t="shared" si="265"/>
        <v>60</v>
      </c>
      <c r="Q324" s="4" t="str">
        <f t="shared" si="266"/>
        <v>1+94,2637430089966i</v>
      </c>
      <c r="R324" s="4">
        <f t="shared" si="277"/>
        <v>94.2690471261175</v>
      </c>
      <c r="S324" s="4">
        <f t="shared" si="278"/>
        <v>1.5601881920343</v>
      </c>
      <c r="T324" s="4" t="str">
        <f t="shared" si="267"/>
        <v>1+1,13116491610796i</v>
      </c>
      <c r="U324" s="4">
        <f t="shared" si="279"/>
        <v>1.5098125934809</v>
      </c>
      <c r="V324" s="4">
        <f t="shared" si="280"/>
        <v>0.84686674157216</v>
      </c>
      <c r="W324" t="str">
        <f t="shared" si="268"/>
        <v>1-1,57807605483811i</v>
      </c>
      <c r="X324" s="4">
        <f t="shared" si="281"/>
        <v>1.86824089315415</v>
      </c>
      <c r="Y324" s="4">
        <f t="shared" si="282"/>
        <v>-1.00597739456222</v>
      </c>
      <c r="Z324" t="str">
        <f t="shared" si="269"/>
        <v>0,998923872050158+0,421065657547476i</v>
      </c>
      <c r="AA324" s="4">
        <f t="shared" si="283"/>
        <v>1.0840411385725</v>
      </c>
      <c r="AB324" s="4">
        <f t="shared" si="284"/>
        <v>0.398918744453657</v>
      </c>
      <c r="AC324" s="67" t="str">
        <f t="shared" si="285"/>
        <v>-0,861989986955115-1,41411203339066i</v>
      </c>
      <c r="AD324" s="68">
        <f t="shared" si="286"/>
        <v>4.38184573889123</v>
      </c>
      <c r="AE324" s="31">
        <f t="shared" si="287"/>
        <v>-121.364927967465</v>
      </c>
      <c r="AF324" s="32" t="str">
        <f t="shared" si="288"/>
        <v>326,048966736478</v>
      </c>
      <c r="AG324" s="32" t="str">
        <f t="shared" si="270"/>
        <v>1+60,5981205057836i</v>
      </c>
      <c r="AH324" s="32">
        <f t="shared" si="289"/>
        <v>60.6063710251115</v>
      </c>
      <c r="AI324" s="32">
        <f t="shared" si="290"/>
        <v>1.55429566253832</v>
      </c>
      <c r="AJ324" s="32" t="str">
        <f t="shared" si="271"/>
        <v>1+1,13116491610796i</v>
      </c>
      <c r="AK324" s="32">
        <f t="shared" si="291"/>
        <v>1.5098125934809</v>
      </c>
      <c r="AL324" s="32">
        <f t="shared" si="292"/>
        <v>0.84686674157216</v>
      </c>
      <c r="AM324" s="32" t="str">
        <f t="shared" si="272"/>
        <v>1-0,186681588937138i</v>
      </c>
      <c r="AN324" s="32">
        <f t="shared" si="293"/>
        <v>1.01727578151065</v>
      </c>
      <c r="AO324" s="32">
        <f t="shared" si="294"/>
        <v>-0.184557216971659</v>
      </c>
      <c r="AP324" s="30" t="str">
        <f t="shared" si="295"/>
        <v>5,18793159597735-6,4310911049207i</v>
      </c>
      <c r="AQ324" s="32">
        <f t="shared" si="296"/>
        <v>18.3425259374372</v>
      </c>
      <c r="AR324" s="31">
        <f t="shared" si="297"/>
        <v>-51.107041088011</v>
      </c>
      <c r="AS324" t="str">
        <f t="shared" si="273"/>
        <v>-0,000100699300699301</v>
      </c>
      <c r="AT324" t="str">
        <f t="shared" si="274"/>
        <v>0,0162099972352971i</v>
      </c>
      <c r="AU324">
        <f t="shared" si="298"/>
        <v>0.0162099972352971</v>
      </c>
      <c r="AV324">
        <f t="shared" si="299"/>
        <v>1.5707963267949</v>
      </c>
      <c r="AW324" t="str">
        <f t="shared" si="275"/>
        <v>1+0,829922126366639i</v>
      </c>
      <c r="AX324">
        <f t="shared" si="300"/>
        <v>1.29952712008366</v>
      </c>
      <c r="AY324">
        <f t="shared" si="301"/>
        <v>0.692721724547643</v>
      </c>
      <c r="AZ324" t="str">
        <f t="shared" si="276"/>
        <v>1+39,6773408073582i</v>
      </c>
      <c r="BA324">
        <f t="shared" si="302"/>
        <v>39.6899404577942</v>
      </c>
      <c r="BB324">
        <f t="shared" si="303"/>
        <v>1.54559835926882</v>
      </c>
      <c r="BC324" s="30" t="str">
        <f t="shared" si="304"/>
        <v>-0,142900907066661+0,124808797254218i</v>
      </c>
      <c r="BD324" s="32">
        <f t="shared" si="305"/>
        <v>-14.4372277213675</v>
      </c>
      <c r="BE324" s="31">
        <f t="shared" si="306"/>
        <v>138.866231614845</v>
      </c>
      <c r="BF324" s="30" t="str">
        <f t="shared" si="307"/>
        <v>0,29967277308847+0,0944939587483588i</v>
      </c>
      <c r="BG324" s="68">
        <f t="shared" si="308"/>
        <v>-10.0553819824763</v>
      </c>
      <c r="BH324" s="31">
        <f t="shared" si="309"/>
        <v>17.5013036473791</v>
      </c>
      <c r="BI324" s="30" t="str">
        <f t="shared" si="316"/>
        <v>0,0612966149724989+1,56650825505259i</v>
      </c>
      <c r="BJ324" s="68">
        <f t="shared" si="310"/>
        <v>3.9052982160697</v>
      </c>
      <c r="BK324" s="31">
        <f t="shared" si="317"/>
        <v>87.7591905268335</v>
      </c>
      <c r="BL324" s="32">
        <f t="shared" si="311"/>
        <v>-10.0553819824763</v>
      </c>
      <c r="BM324" s="31">
        <f t="shared" si="312"/>
        <v>17.5013036473791</v>
      </c>
      <c r="BO324">
        <f t="shared" si="313"/>
        <v>0</v>
      </c>
      <c r="BP324">
        <f t="shared" si="314"/>
        <v>0</v>
      </c>
    </row>
    <row r="325" spans="14:68">
      <c r="N325" s="7">
        <v>7</v>
      </c>
      <c r="O325" s="18">
        <f t="shared" si="318"/>
        <v>11748.9755493953</v>
      </c>
      <c r="P325" s="86" t="str">
        <f t="shared" si="265"/>
        <v>60</v>
      </c>
      <c r="Q325" s="4" t="str">
        <f t="shared" si="266"/>
        <v>1+96,4594276472603i</v>
      </c>
      <c r="R325" s="4">
        <f t="shared" si="277"/>
        <v>96.4646110344983</v>
      </c>
      <c r="S325" s="4">
        <f t="shared" si="278"/>
        <v>1.56042964516058</v>
      </c>
      <c r="T325" s="4" t="str">
        <f t="shared" si="267"/>
        <v>1+1,15751313176712i</v>
      </c>
      <c r="U325" s="4">
        <f t="shared" si="279"/>
        <v>1.52965246059794</v>
      </c>
      <c r="V325" s="4">
        <f t="shared" si="280"/>
        <v>0.85827566900749</v>
      </c>
      <c r="W325" t="str">
        <f t="shared" si="268"/>
        <v>1-1,6148341682019i</v>
      </c>
      <c r="X325" s="4">
        <f t="shared" si="281"/>
        <v>1.89939184761658</v>
      </c>
      <c r="Y325" s="4">
        <f t="shared" si="282"/>
        <v>-1.01633629207623</v>
      </c>
      <c r="Z325" t="str">
        <f t="shared" si="269"/>
        <v>0,998873155702365+0,430873536658421i</v>
      </c>
      <c r="AA325" s="4">
        <f t="shared" si="283"/>
        <v>1.08784170988951</v>
      </c>
      <c r="AB325" s="4">
        <f t="shared" si="284"/>
        <v>0.407244940481369</v>
      </c>
      <c r="AC325" s="67" t="str">
        <f t="shared" si="285"/>
        <v>-0,875277850707728-1,41191767774138i</v>
      </c>
      <c r="AD325" s="68">
        <f t="shared" si="286"/>
        <v>4.40849731457885</v>
      </c>
      <c r="AE325" s="31">
        <f t="shared" si="287"/>
        <v>-121.795655821484</v>
      </c>
      <c r="AF325" s="32" t="str">
        <f t="shared" si="288"/>
        <v>326,048966736478</v>
      </c>
      <c r="AG325" s="32" t="str">
        <f t="shared" si="270"/>
        <v>1+62,0096320589531i</v>
      </c>
      <c r="AH325" s="32">
        <f t="shared" si="289"/>
        <v>62.0176947982327</v>
      </c>
      <c r="AI325" s="32">
        <f t="shared" si="290"/>
        <v>1.5546711976491</v>
      </c>
      <c r="AJ325" s="32" t="str">
        <f t="shared" si="271"/>
        <v>1+1,15751313176712i</v>
      </c>
      <c r="AK325" s="32">
        <f t="shared" si="291"/>
        <v>1.52965246059794</v>
      </c>
      <c r="AL325" s="32">
        <f t="shared" si="292"/>
        <v>0.85827566900749</v>
      </c>
      <c r="AM325" s="32" t="str">
        <f t="shared" si="272"/>
        <v>1-0,19102996174721i</v>
      </c>
      <c r="AN325" s="32">
        <f t="shared" si="293"/>
        <v>1.01808273057013</v>
      </c>
      <c r="AO325" s="32">
        <f t="shared" si="294"/>
        <v>-0.188755834083808</v>
      </c>
      <c r="AP325" s="30" t="str">
        <f t="shared" si="295"/>
        <v>5,18399999167657-6,33709312429306i</v>
      </c>
      <c r="AQ325" s="32">
        <f t="shared" si="296"/>
        <v>18.2628609830118</v>
      </c>
      <c r="AR325" s="31">
        <f t="shared" si="297"/>
        <v>-50.7154373144198</v>
      </c>
      <c r="AS325" t="str">
        <f t="shared" si="273"/>
        <v>-0,000100699300699301</v>
      </c>
      <c r="AT325" t="str">
        <f t="shared" si="274"/>
        <v>0,01658757657577i</v>
      </c>
      <c r="AU325">
        <f t="shared" si="298"/>
        <v>0.01658757657577</v>
      </c>
      <c r="AV325">
        <f t="shared" si="299"/>
        <v>1.5707963267949</v>
      </c>
      <c r="AW325" t="str">
        <f t="shared" si="275"/>
        <v>1+0,849253496049726i</v>
      </c>
      <c r="AX325">
        <f t="shared" si="300"/>
        <v>1.31195712603449</v>
      </c>
      <c r="AY325">
        <f t="shared" si="301"/>
        <v>0.704060520556142</v>
      </c>
      <c r="AZ325" t="str">
        <f t="shared" si="276"/>
        <v>1+40,6015448005049i</v>
      </c>
      <c r="BA325">
        <f t="shared" si="302"/>
        <v>40.6138577358444</v>
      </c>
      <c r="BB325">
        <f t="shared" si="303"/>
        <v>1.54617170049883</v>
      </c>
      <c r="BC325" s="30" t="str">
        <f t="shared" si="304"/>
        <v>-0,140205933891325+0,125141145813541i</v>
      </c>
      <c r="BD325" s="32">
        <f t="shared" si="305"/>
        <v>-14.5200377144277</v>
      </c>
      <c r="BE325" s="31">
        <f t="shared" si="306"/>
        <v>138.249416491498</v>
      </c>
      <c r="BF325" s="30" t="str">
        <f t="shared" si="307"/>
        <v>0,299408144459819+0,0884259634426225i</v>
      </c>
      <c r="BG325" s="68">
        <f t="shared" si="308"/>
        <v>-10.1115403998489</v>
      </c>
      <c r="BH325" s="31">
        <f t="shared" si="309"/>
        <v>16.453760670014</v>
      </c>
      <c r="BI325" s="30" t="str">
        <f t="shared" si="316"/>
        <v>0,0662035345755113+1,5372297585036i</v>
      </c>
      <c r="BJ325" s="68">
        <f t="shared" si="310"/>
        <v>3.74282326858413</v>
      </c>
      <c r="BK325" s="31">
        <f t="shared" si="317"/>
        <v>87.5339791770784</v>
      </c>
      <c r="BL325" s="32">
        <f t="shared" si="311"/>
        <v>-10.1115403998489</v>
      </c>
      <c r="BM325" s="31">
        <f t="shared" si="312"/>
        <v>16.453760670014</v>
      </c>
      <c r="BO325">
        <f t="shared" si="313"/>
        <v>0</v>
      </c>
      <c r="BP325">
        <f t="shared" si="314"/>
        <v>0</v>
      </c>
    </row>
    <row r="326" spans="14:68">
      <c r="N326" s="7">
        <v>8</v>
      </c>
      <c r="O326" s="18">
        <f t="shared" si="318"/>
        <v>12022.6443461742</v>
      </c>
      <c r="P326" s="86" t="str">
        <f t="shared" si="265"/>
        <v>60</v>
      </c>
      <c r="Q326" s="4" t="str">
        <f t="shared" si="266"/>
        <v>1+98,7062563508545i</v>
      </c>
      <c r="R326" s="4">
        <f t="shared" si="277"/>
        <v>98.7113217559192</v>
      </c>
      <c r="S326" s="4">
        <f t="shared" si="278"/>
        <v>1.56066560331074</v>
      </c>
      <c r="T326" s="4" t="str">
        <f t="shared" si="267"/>
        <v>1+1,18447507621026i</v>
      </c>
      <c r="U326" s="4">
        <f t="shared" si="279"/>
        <v>1.5501552200226</v>
      </c>
      <c r="V326" s="4">
        <f t="shared" si="280"/>
        <v>0.869646510655617</v>
      </c>
      <c r="W326" t="str">
        <f t="shared" si="268"/>
        <v>1-1,65244848801654i</v>
      </c>
      <c r="X326" s="4">
        <f t="shared" si="281"/>
        <v>1.93147249671026</v>
      </c>
      <c r="Y326" s="4">
        <f t="shared" si="282"/>
        <v>-1.02658945183152</v>
      </c>
      <c r="Z326" t="str">
        <f t="shared" si="269"/>
        <v>0,998820049166738+0,44090987062179i</v>
      </c>
      <c r="AA326" s="4">
        <f t="shared" si="283"/>
        <v>1.09180721953519</v>
      </c>
      <c r="AB326" s="4">
        <f t="shared" si="284"/>
        <v>0.415704916061957</v>
      </c>
      <c r="AC326" s="67" t="str">
        <f t="shared" si="285"/>
        <v>-0,88897101426848-1,41003193426708i</v>
      </c>
      <c r="AD326" s="68">
        <f t="shared" si="286"/>
        <v>4.4380407381227</v>
      </c>
      <c r="AE326" s="31">
        <f t="shared" si="287"/>
        <v>-122.229857667883</v>
      </c>
      <c r="AF326" s="32" t="str">
        <f t="shared" si="288"/>
        <v>326,048966736478</v>
      </c>
      <c r="AG326" s="32" t="str">
        <f t="shared" si="270"/>
        <v>1+63,4540219398351i</v>
      </c>
      <c r="AH326" s="32">
        <f t="shared" si="289"/>
        <v>63.4619011718139</v>
      </c>
      <c r="AI326" s="32">
        <f t="shared" si="290"/>
        <v>1.55503818893236</v>
      </c>
      <c r="AJ326" s="32" t="str">
        <f t="shared" si="271"/>
        <v>1+1,18447507621026i</v>
      </c>
      <c r="AK326" s="32">
        <f t="shared" si="291"/>
        <v>1.5501552200226</v>
      </c>
      <c r="AL326" s="32">
        <f t="shared" si="292"/>
        <v>0.869646510655617</v>
      </c>
      <c r="AM326" s="32" t="str">
        <f t="shared" si="272"/>
        <v>1-0,195479621171582i</v>
      </c>
      <c r="AN326" s="32">
        <f t="shared" si="293"/>
        <v>1.01892702500885</v>
      </c>
      <c r="AO326" s="32">
        <f t="shared" si="294"/>
        <v>-0.193045287457221</v>
      </c>
      <c r="AP326" s="30" t="str">
        <f t="shared" si="295"/>
        <v>5,1802452487741-6,24644944700452i</v>
      </c>
      <c r="AQ326" s="32">
        <f t="shared" si="296"/>
        <v>18.1857603621567</v>
      </c>
      <c r="AR326" s="31">
        <f t="shared" si="297"/>
        <v>-50.3307307048345</v>
      </c>
      <c r="AS326" t="str">
        <f t="shared" si="273"/>
        <v>-0,000100699300699301</v>
      </c>
      <c r="AT326" t="str">
        <f t="shared" si="274"/>
        <v>0,0169739508689059i</v>
      </c>
      <c r="AU326">
        <f t="shared" si="298"/>
        <v>0.0169739508689059</v>
      </c>
      <c r="AV326">
        <f t="shared" si="299"/>
        <v>1.5707963267949</v>
      </c>
      <c r="AW326" t="str">
        <f t="shared" si="275"/>
        <v>1+0,869035151177622i</v>
      </c>
      <c r="AX326">
        <f t="shared" si="300"/>
        <v>1.32484795126924</v>
      </c>
      <c r="AY326">
        <f t="shared" si="301"/>
        <v>0.715441675100004</v>
      </c>
      <c r="AZ326" t="str">
        <f t="shared" si="276"/>
        <v>1+41,5472762701301i</v>
      </c>
      <c r="BA326">
        <f t="shared" si="302"/>
        <v>41.5593090109366</v>
      </c>
      <c r="BB326">
        <f t="shared" si="303"/>
        <v>1.54673200653612</v>
      </c>
      <c r="BC326" s="30" t="str">
        <f t="shared" si="304"/>
        <v>-0,13749078866175+0,125416907087936i</v>
      </c>
      <c r="BD326" s="32">
        <f t="shared" si="305"/>
        <v>-14.6050841304289</v>
      </c>
      <c r="BE326" s="31">
        <f t="shared" si="306"/>
        <v>137.629427541321</v>
      </c>
      <c r="BF326" s="30" t="str">
        <f t="shared" si="307"/>
        <v>0,299067169940206+0,0823744075802555i</v>
      </c>
      <c r="BG326" s="68">
        <f t="shared" si="308"/>
        <v>-10.1670433923062</v>
      </c>
      <c r="BH326" s="31">
        <f t="shared" si="309"/>
        <v>15.3995698734376</v>
      </c>
      <c r="BI326" s="30" t="str">
        <f t="shared" si="316"/>
        <v>0,0711743652092208+1,50851959786263i</v>
      </c>
      <c r="BJ326" s="68">
        <f t="shared" si="310"/>
        <v>3.58067623172782</v>
      </c>
      <c r="BK326" s="31">
        <f t="shared" si="317"/>
        <v>87.2986968364864</v>
      </c>
      <c r="BL326" s="32">
        <f t="shared" si="311"/>
        <v>-10.1670433923062</v>
      </c>
      <c r="BM326" s="31">
        <f t="shared" si="312"/>
        <v>15.3995698734376</v>
      </c>
      <c r="BO326">
        <f t="shared" si="313"/>
        <v>0</v>
      </c>
      <c r="BP326">
        <f t="shared" si="314"/>
        <v>0</v>
      </c>
    </row>
    <row r="327" spans="14:68">
      <c r="N327" s="7">
        <v>9</v>
      </c>
      <c r="O327" s="18">
        <f t="shared" si="318"/>
        <v>12302.6877081238</v>
      </c>
      <c r="P327" s="86" t="str">
        <f t="shared" si="265"/>
        <v>60</v>
      </c>
      <c r="Q327" s="4" t="str">
        <f t="shared" si="266"/>
        <v>1+101,005420418096i</v>
      </c>
      <c r="R327" s="4">
        <f t="shared" si="277"/>
        <v>101.010370526181</v>
      </c>
      <c r="S327" s="4">
        <f t="shared" si="278"/>
        <v>1.56089619148776</v>
      </c>
      <c r="T327" s="4" t="str">
        <f t="shared" si="267"/>
        <v>1+1,21206504501716i</v>
      </c>
      <c r="U327" s="4">
        <f t="shared" si="279"/>
        <v>1.57133754278082</v>
      </c>
      <c r="V327" s="4">
        <f t="shared" si="280"/>
        <v>0.880973534696913</v>
      </c>
      <c r="W327" t="str">
        <f t="shared" si="268"/>
        <v>1-1,69093895789224i</v>
      </c>
      <c r="X327" s="4">
        <f t="shared" si="281"/>
        <v>1.96450364197109</v>
      </c>
      <c r="Y327" s="4">
        <f t="shared" si="282"/>
        <v>-1.03673368667442</v>
      </c>
      <c r="Z327" t="str">
        <f t="shared" si="269"/>
        <v>0,998764439797195+0,451179980834688i</v>
      </c>
      <c r="AA327" s="4">
        <f t="shared" si="283"/>
        <v>1.09594424187976</v>
      </c>
      <c r="AB327" s="4">
        <f t="shared" si="284"/>
        <v>0.424298416329454</v>
      </c>
      <c r="AC327" s="67" t="str">
        <f t="shared" si="285"/>
        <v>-0,903075823440997-1,40843255253155i</v>
      </c>
      <c r="AD327" s="68">
        <f t="shared" si="286"/>
        <v>4.47038304345115</v>
      </c>
      <c r="AE327" s="31">
        <f t="shared" si="287"/>
        <v>-122.667671864682</v>
      </c>
      <c r="AF327" s="32" t="str">
        <f t="shared" si="288"/>
        <v>326,048966736478</v>
      </c>
      <c r="AG327" s="32" t="str">
        <f t="shared" si="270"/>
        <v>1+64,932055983062i</v>
      </c>
      <c r="AH327" s="32">
        <f t="shared" si="289"/>
        <v>64.9397558833377</v>
      </c>
      <c r="AI327" s="32">
        <f t="shared" si="290"/>
        <v>1.55539683057611</v>
      </c>
      <c r="AJ327" s="32" t="str">
        <f t="shared" si="271"/>
        <v>1+1,21206504501716i</v>
      </c>
      <c r="AK327" s="32">
        <f t="shared" si="291"/>
        <v>1.57133754278082</v>
      </c>
      <c r="AL327" s="32">
        <f t="shared" si="292"/>
        <v>0.880973534696913</v>
      </c>
      <c r="AM327" s="32" t="str">
        <f t="shared" si="272"/>
        <v>1-0,200032926478575i</v>
      </c>
      <c r="AN327" s="32">
        <f t="shared" si="293"/>
        <v>1.01981036064338</v>
      </c>
      <c r="AO327" s="32">
        <f t="shared" si="294"/>
        <v>-0.197427219724952</v>
      </c>
      <c r="AP327" s="30" t="str">
        <f t="shared" si="295"/>
        <v>5,17665941510686-6,15911239332938i</v>
      </c>
      <c r="AQ327" s="32">
        <f t="shared" si="296"/>
        <v>18.1112216647681</v>
      </c>
      <c r="AR327" s="31">
        <f t="shared" si="297"/>
        <v>-49.9533549104227</v>
      </c>
      <c r="AS327" t="str">
        <f t="shared" si="273"/>
        <v>-0,000100699300699301</v>
      </c>
      <c r="AT327" t="str">
        <f t="shared" si="274"/>
        <v>0,0173693249754691i</v>
      </c>
      <c r="AU327">
        <f t="shared" si="298"/>
        <v>0.0173693249754691</v>
      </c>
      <c r="AV327">
        <f t="shared" si="299"/>
        <v>1.5707963267949</v>
      </c>
      <c r="AW327" t="str">
        <f t="shared" si="275"/>
        <v>1+0,8892775802457i</v>
      </c>
      <c r="AX327">
        <f t="shared" si="300"/>
        <v>1.33821321721452</v>
      </c>
      <c r="AY327">
        <f t="shared" si="301"/>
        <v>0.726859429812753</v>
      </c>
      <c r="AZ327" t="str">
        <f t="shared" si="276"/>
        <v>1+42,5150366555763i</v>
      </c>
      <c r="BA327">
        <f t="shared" si="302"/>
        <v>42.5267955743787</v>
      </c>
      <c r="BB327">
        <f t="shared" si="303"/>
        <v>1.54727957305432</v>
      </c>
      <c r="BC327" s="30" t="str">
        <f t="shared" si="304"/>
        <v>-0,134758153073738+0,125634941081656i</v>
      </c>
      <c r="BD327" s="32">
        <f t="shared" si="305"/>
        <v>-14.6923828320006</v>
      </c>
      <c r="BE327" s="31">
        <f t="shared" si="306"/>
        <v>137.00661163526</v>
      </c>
      <c r="BF327" s="30" t="str">
        <f t="shared" si="307"/>
        <v>0,298645170807242+0,0763398916378045i</v>
      </c>
      <c r="BG327" s="68">
        <f t="shared" si="308"/>
        <v>-10.2219997885494</v>
      </c>
      <c r="BH327" s="31">
        <f t="shared" si="309"/>
        <v>14.3389397705776</v>
      </c>
      <c r="BI327" s="30" t="str">
        <f t="shared" si="316"/>
        <v>0,0762026607796565+1,48035991131539i</v>
      </c>
      <c r="BJ327" s="68">
        <f t="shared" si="310"/>
        <v>3.41883883276751</v>
      </c>
      <c r="BK327" s="31">
        <f t="shared" si="317"/>
        <v>87.0532567248373</v>
      </c>
      <c r="BL327" s="32">
        <f t="shared" si="311"/>
        <v>-10.2219997885494</v>
      </c>
      <c r="BM327" s="31">
        <f t="shared" si="312"/>
        <v>14.3389397705776</v>
      </c>
      <c r="BO327">
        <f t="shared" si="313"/>
        <v>0</v>
      </c>
      <c r="BP327">
        <f t="shared" si="314"/>
        <v>0</v>
      </c>
    </row>
    <row r="328" spans="14:68">
      <c r="N328" s="7">
        <v>10</v>
      </c>
      <c r="O328" s="18">
        <f t="shared" si="318"/>
        <v>12589.2541179417</v>
      </c>
      <c r="P328" s="86" t="str">
        <f t="shared" si="265"/>
        <v>60</v>
      </c>
      <c r="Q328" s="4" t="str">
        <f t="shared" si="266"/>
        <v>1+103,35813889621i</v>
      </c>
      <c r="R328" s="4">
        <f t="shared" si="277"/>
        <v>103.362976331413</v>
      </c>
      <c r="S328" s="4">
        <f t="shared" si="278"/>
        <v>1.56112153185439</v>
      </c>
      <c r="T328" s="4" t="str">
        <f t="shared" si="267"/>
        <v>1+1,24029766675452i</v>
      </c>
      <c r="U328" s="4">
        <f t="shared" si="279"/>
        <v>1.59321633878036</v>
      </c>
      <c r="V328" s="4">
        <f t="shared" si="280"/>
        <v>0.892251121458909</v>
      </c>
      <c r="W328" t="str">
        <f t="shared" si="268"/>
        <v>1-1,73032598598566i</v>
      </c>
      <c r="X328" s="4">
        <f t="shared" si="281"/>
        <v>1.998506446769</v>
      </c>
      <c r="Y328" s="4">
        <f t="shared" si="282"/>
        <v>-1.04676602353264</v>
      </c>
      <c r="Z328" t="str">
        <f t="shared" si="269"/>
        <v>0,998706209638807+0,461689312645503i</v>
      </c>
      <c r="AA328" s="4">
        <f t="shared" si="283"/>
        <v>1.10025956691237</v>
      </c>
      <c r="AB328" s="4">
        <f t="shared" si="284"/>
        <v>0.433025030055415</v>
      </c>
      <c r="AC328" s="67" t="str">
        <f t="shared" si="285"/>
        <v>-0,917598035584054-1,40709681925696i</v>
      </c>
      <c r="AD328" s="68">
        <f t="shared" si="286"/>
        <v>4.50542791300054</v>
      </c>
      <c r="AE328" s="31">
        <f t="shared" si="287"/>
        <v>-123.109233488658</v>
      </c>
      <c r="AF328" s="32" t="str">
        <f t="shared" si="288"/>
        <v>326,048966736478</v>
      </c>
      <c r="AG328" s="32" t="str">
        <f t="shared" si="270"/>
        <v>1+66,4445178618492i</v>
      </c>
      <c r="AH328" s="32">
        <f t="shared" si="289"/>
        <v>66.4520425110741</v>
      </c>
      <c r="AI328" s="32">
        <f t="shared" si="290"/>
        <v>1.55574731236764</v>
      </c>
      <c r="AJ328" s="32" t="str">
        <f t="shared" si="271"/>
        <v>1+1,24029766675452i</v>
      </c>
      <c r="AK328" s="32">
        <f t="shared" si="291"/>
        <v>1.59321633878036</v>
      </c>
      <c r="AL328" s="32">
        <f t="shared" si="292"/>
        <v>0.892251121458909</v>
      </c>
      <c r="AM328" s="32" t="str">
        <f t="shared" si="272"/>
        <v>1-0,204692291890938i</v>
      </c>
      <c r="AN328" s="32">
        <f t="shared" si="293"/>
        <v>1.02073450728363</v>
      </c>
      <c r="AO328" s="32">
        <f t="shared" si="294"/>
        <v>-0.201903280812036</v>
      </c>
      <c r="AP328" s="30" t="str">
        <f t="shared" si="295"/>
        <v>5,17323489572254-6,07503601136414i</v>
      </c>
      <c r="AQ328" s="32">
        <f t="shared" si="296"/>
        <v>18.0392408496848</v>
      </c>
      <c r="AR328" s="31">
        <f t="shared" si="297"/>
        <v>-49.583737322451</v>
      </c>
      <c r="AS328" t="str">
        <f t="shared" si="273"/>
        <v>-0,000100699300699301</v>
      </c>
      <c r="AT328" t="str">
        <f t="shared" si="274"/>
        <v>0,0177739085280447i</v>
      </c>
      <c r="AU328">
        <f t="shared" si="298"/>
        <v>0.0177739085280447</v>
      </c>
      <c r="AV328">
        <f t="shared" si="299"/>
        <v>1.5707963267949</v>
      </c>
      <c r="AW328" t="str">
        <f t="shared" si="275"/>
        <v>1+0,909991516057813i</v>
      </c>
      <c r="AX328">
        <f t="shared" si="300"/>
        <v>1.3520667732391</v>
      </c>
      <c r="AY328">
        <f t="shared" si="301"/>
        <v>0.738307931645276</v>
      </c>
      <c r="AZ328" t="str">
        <f t="shared" si="276"/>
        <v>1+43,5053390762107i</v>
      </c>
      <c r="BA328">
        <f t="shared" si="302"/>
        <v>43.5168304008468</v>
      </c>
      <c r="BB328">
        <f t="shared" si="303"/>
        <v>1.54781468906628</v>
      </c>
      <c r="BC328" s="30" t="str">
        <f t="shared" si="304"/>
        <v>-0,132010780765488+0,125794259273493i</v>
      </c>
      <c r="BD328" s="32">
        <f t="shared" si="305"/>
        <v>-14.7819474175104</v>
      </c>
      <c r="BE328" s="31">
        <f t="shared" si="306"/>
        <v>136.381320687544</v>
      </c>
      <c r="BF328" s="30" t="str">
        <f t="shared" si="307"/>
        <v>0,298137535210846+0,0703233845256377i</v>
      </c>
      <c r="BG328" s="68">
        <f t="shared" si="308"/>
        <v>-10.2765195045098</v>
      </c>
      <c r="BH328" s="31">
        <f t="shared" si="309"/>
        <v>13.2720871988869</v>
      </c>
      <c r="BI328" s="30" t="str">
        <f t="shared" si="316"/>
        <v>0,081281877441747+1,45273349879384i</v>
      </c>
      <c r="BJ328" s="68">
        <f t="shared" si="310"/>
        <v>3.25729343217443</v>
      </c>
      <c r="BK328" s="31">
        <f t="shared" si="317"/>
        <v>86.7975833650935</v>
      </c>
      <c r="BL328" s="32">
        <f t="shared" si="311"/>
        <v>-10.2765195045098</v>
      </c>
      <c r="BM328" s="31">
        <f t="shared" si="312"/>
        <v>13.2720871988869</v>
      </c>
      <c r="BO328">
        <f t="shared" si="313"/>
        <v>0</v>
      </c>
      <c r="BP328">
        <f t="shared" si="314"/>
        <v>0</v>
      </c>
    </row>
    <row r="329" spans="14:68">
      <c r="N329" s="7">
        <v>11</v>
      </c>
      <c r="O329" s="18">
        <f t="shared" si="318"/>
        <v>12882.4955169314</v>
      </c>
      <c r="P329" s="86" t="str">
        <f t="shared" si="265"/>
        <v>60</v>
      </c>
      <c r="Q329" s="4" t="str">
        <f t="shared" si="266"/>
        <v>1+105,765659227673i</v>
      </c>
      <c r="R329" s="4">
        <f t="shared" si="277"/>
        <v>105.770386554386</v>
      </c>
      <c r="S329" s="4">
        <f t="shared" si="278"/>
        <v>1.5613417437975</v>
      </c>
      <c r="T329" s="4" t="str">
        <f t="shared" si="267"/>
        <v>1+1,26918791073207i</v>
      </c>
      <c r="U329" s="4">
        <f t="shared" si="279"/>
        <v>1.61580876119312</v>
      </c>
      <c r="V329" s="4">
        <f t="shared" si="280"/>
        <v>0.903473776548129</v>
      </c>
      <c r="W329" t="str">
        <f t="shared" si="268"/>
        <v>1-1,77063045582041i</v>
      </c>
      <c r="X329" s="4">
        <f t="shared" si="281"/>
        <v>2.03350244924337</v>
      </c>
      <c r="Y329" s="4">
        <f t="shared" si="282"/>
        <v>-1.05668370325007</v>
      </c>
      <c r="Z329" t="str">
        <f t="shared" si="269"/>
        <v>0,998645235177602+0,472443438241063i</v>
      </c>
      <c r="AA329" s="4">
        <f t="shared" si="283"/>
        <v>1.10476020388135</v>
      </c>
      <c r="AB329" s="4">
        <f t="shared" si="284"/>
        <v>0.441884183090625</v>
      </c>
      <c r="AC329" s="67" t="str">
        <f t="shared" si="285"/>
        <v>-0,93254276763669-1,4060015694021i</v>
      </c>
      <c r="AD329" s="68">
        <f t="shared" si="286"/>
        <v>4.54307591511085</v>
      </c>
      <c r="AE329" s="31">
        <f t="shared" si="287"/>
        <v>-123.554673201402</v>
      </c>
      <c r="AF329" s="32" t="str">
        <f t="shared" si="288"/>
        <v>326,048966736478</v>
      </c>
      <c r="AG329" s="32" t="str">
        <f t="shared" si="270"/>
        <v>1+67,9922095035039i</v>
      </c>
      <c r="AH329" s="32">
        <f t="shared" si="289"/>
        <v>67.999562889539</v>
      </c>
      <c r="AI329" s="32">
        <f t="shared" si="290"/>
        <v>1.55608981979241</v>
      </c>
      <c r="AJ329" s="32" t="str">
        <f t="shared" si="271"/>
        <v>1+1,26918791073207i</v>
      </c>
      <c r="AK329" s="32">
        <f t="shared" si="291"/>
        <v>1.61580876119312</v>
      </c>
      <c r="AL329" s="32">
        <f t="shared" si="292"/>
        <v>0.903473776548129</v>
      </c>
      <c r="AM329" s="32" t="str">
        <f t="shared" si="272"/>
        <v>1-0,209460187865884i</v>
      </c>
      <c r="AN329" s="32">
        <f t="shared" si="293"/>
        <v>1.02170131168596</v>
      </c>
      <c r="AO329" s="32">
        <f t="shared" si="294"/>
        <v>-0.206475126217599</v>
      </c>
      <c r="AP329" s="30" t="str">
        <f t="shared" si="295"/>
        <v>5,16996443686335-5,99417605435627i</v>
      </c>
      <c r="AQ329" s="32">
        <f t="shared" si="296"/>
        <v>17.9698123359362</v>
      </c>
      <c r="AR329" s="31">
        <f t="shared" si="297"/>
        <v>-49.2222982271239</v>
      </c>
      <c r="AS329" t="str">
        <f t="shared" si="273"/>
        <v>-0,000100699300699301</v>
      </c>
      <c r="AT329" t="str">
        <f t="shared" si="274"/>
        <v>0,0181879160421873i</v>
      </c>
      <c r="AU329">
        <f t="shared" si="298"/>
        <v>0.0181879160421873</v>
      </c>
      <c r="AV329">
        <f t="shared" si="299"/>
        <v>1.5707963267949</v>
      </c>
      <c r="AW329" t="str">
        <f t="shared" si="275"/>
        <v>1+0,931187941416903i</v>
      </c>
      <c r="AX329">
        <f t="shared" si="300"/>
        <v>1.36642269530342</v>
      </c>
      <c r="AY329">
        <f t="shared" si="301"/>
        <v>0.749781247440876</v>
      </c>
      <c r="AZ329" t="str">
        <f t="shared" si="276"/>
        <v>1+44,5187086034846i</v>
      </c>
      <c r="BA329">
        <f t="shared" si="302"/>
        <v>44.5299384203703</v>
      </c>
      <c r="BB329">
        <f t="shared" si="303"/>
        <v>1.54833763707106</v>
      </c>
      <c r="BC329" s="30" t="str">
        <f t="shared" si="304"/>
        <v>-0,12925148653381+0,125894030329638i</v>
      </c>
      <c r="BD329" s="32">
        <f t="shared" si="305"/>
        <v>-14.8737891663744</v>
      </c>
      <c r="BE329" s="31">
        <f t="shared" si="306"/>
        <v>135.753910829014</v>
      </c>
      <c r="BF329" s="30" t="str">
        <f t="shared" si="307"/>
        <v>0,297539743195222+0,0643262254415532i</v>
      </c>
      <c r="BG329" s="68">
        <f t="shared" si="308"/>
        <v>-10.3307132512636</v>
      </c>
      <c r="BH329" s="31">
        <f t="shared" si="309"/>
        <v>12.1992376276124</v>
      </c>
      <c r="BI329" s="30" t="str">
        <f t="shared" si="316"/>
        <v>0,0864053931967983+1,42562382518854i</v>
      </c>
      <c r="BJ329" s="68">
        <f t="shared" si="310"/>
        <v>3.0960231695618</v>
      </c>
      <c r="BK329" s="31">
        <f t="shared" si="317"/>
        <v>86.5316126018902</v>
      </c>
      <c r="BL329" s="32">
        <f t="shared" si="311"/>
        <v>-10.3307132512636</v>
      </c>
      <c r="BM329" s="31">
        <f t="shared" si="312"/>
        <v>12.1992376276124</v>
      </c>
      <c r="BO329">
        <f t="shared" si="313"/>
        <v>0</v>
      </c>
      <c r="BP329">
        <f t="shared" si="314"/>
        <v>0</v>
      </c>
    </row>
    <row r="330" spans="14:68">
      <c r="N330" s="7">
        <v>12</v>
      </c>
      <c r="O330" s="18">
        <f t="shared" si="318"/>
        <v>13182.5673855641</v>
      </c>
      <c r="P330" s="86" t="str">
        <f t="shared" si="265"/>
        <v>60</v>
      </c>
      <c r="Q330" s="4" t="str">
        <f t="shared" si="266"/>
        <v>1+108,229257911631i</v>
      </c>
      <c r="R330" s="4">
        <f t="shared" si="277"/>
        <v>108.233877635897</v>
      </c>
      <c r="S330" s="4">
        <f t="shared" si="278"/>
        <v>1.56155694399088</v>
      </c>
      <c r="T330" s="4" t="str">
        <f t="shared" si="267"/>
        <v>1+1,29875109493958i</v>
      </c>
      <c r="U330" s="4">
        <f t="shared" si="279"/>
        <v>1.63913221144811</v>
      </c>
      <c r="V330" s="4">
        <f t="shared" si="280"/>
        <v>0.914636143224373</v>
      </c>
      <c r="W330" t="str">
        <f t="shared" si="268"/>
        <v>1-1,8118737373599i</v>
      </c>
      <c r="X330" s="4">
        <f t="shared" si="281"/>
        <v>2.06951357573091</v>
      </c>
      <c r="Y330" s="4">
        <f t="shared" si="282"/>
        <v>-1.06648417961454</v>
      </c>
      <c r="Z330" t="str">
        <f t="shared" si="269"/>
        <v>0,998581387078572+0,483448059601103i</v>
      </c>
      <c r="AA330" s="4">
        <f t="shared" si="283"/>
        <v>1.10945338475838</v>
      </c>
      <c r="AB330" s="4">
        <f t="shared" si="284"/>
        <v>0.450875131987465</v>
      </c>
      <c r="AC330" s="67" t="str">
        <f t="shared" si="285"/>
        <v>-0,94791444338288-1,40512320168183i</v>
      </c>
      <c r="AD330" s="68">
        <f t="shared" si="286"/>
        <v>4.58322475101739</v>
      </c>
      <c r="AE330" s="31">
        <f t="shared" si="287"/>
        <v>-124.004116122815</v>
      </c>
      <c r="AF330" s="32" t="str">
        <f t="shared" si="288"/>
        <v>326,048966736478</v>
      </c>
      <c r="AG330" s="32" t="str">
        <f t="shared" si="270"/>
        <v>1+69,5759515146202i</v>
      </c>
      <c r="AH330" s="32">
        <f t="shared" si="289"/>
        <v>69.5831375346411</v>
      </c>
      <c r="AI330" s="32">
        <f t="shared" si="290"/>
        <v>1.55642453413077</v>
      </c>
      <c r="AJ330" s="32" t="str">
        <f t="shared" si="271"/>
        <v>1+1,29875109493958i</v>
      </c>
      <c r="AK330" s="32">
        <f t="shared" si="291"/>
        <v>1.63913221144811</v>
      </c>
      <c r="AL330" s="32">
        <f t="shared" si="292"/>
        <v>0.914636143224373</v>
      </c>
      <c r="AM330" s="32" t="str">
        <f t="shared" si="272"/>
        <v>1-0,214339142404969i</v>
      </c>
      <c r="AN330" s="32">
        <f t="shared" si="293"/>
        <v>1.02271270059919</v>
      </c>
      <c r="AO330" s="32">
        <f t="shared" si="294"/>
        <v>-0.211144415158053</v>
      </c>
      <c r="AP330" s="30" t="str">
        <f t="shared" si="295"/>
        <v>5,16684111066566-5,9164899588237i</v>
      </c>
      <c r="AQ330" s="32">
        <f t="shared" si="296"/>
        <v>17.9029291014279</v>
      </c>
      <c r="AR330" s="31">
        <f t="shared" si="297"/>
        <v>-48.8694499957436</v>
      </c>
      <c r="AS330" t="str">
        <f t="shared" si="273"/>
        <v>-0,000100699300699301</v>
      </c>
      <c r="AT330" t="str">
        <f t="shared" si="274"/>
        <v>0,0186115670301609i</v>
      </c>
      <c r="AU330">
        <f t="shared" si="298"/>
        <v>0.0186115670301609</v>
      </c>
      <c r="AV330">
        <f t="shared" si="299"/>
        <v>1.5707963267949</v>
      </c>
      <c r="AW330" t="str">
        <f t="shared" si="275"/>
        <v>1+0,952878094948255i</v>
      </c>
      <c r="AX330">
        <f t="shared" si="300"/>
        <v>1.38129528480778</v>
      </c>
      <c r="AY330">
        <f t="shared" si="301"/>
        <v>0.761273379015208</v>
      </c>
      <c r="AZ330" t="str">
        <f t="shared" si="276"/>
        <v>1+45,5556825393346i</v>
      </c>
      <c r="BA330">
        <f t="shared" si="302"/>
        <v>45.5666567966604</v>
      </c>
      <c r="BB330">
        <f t="shared" si="303"/>
        <v>1.54884869319785</v>
      </c>
      <c r="BC330" s="30" t="str">
        <f t="shared" si="304"/>
        <v>-0,126483135015628+0,125933584887407i</v>
      </c>
      <c r="BD330" s="32">
        <f t="shared" si="305"/>
        <v>-14.9679169935111</v>
      </c>
      <c r="BE330" s="31">
        <f t="shared" si="306"/>
        <v>135.124741551355</v>
      </c>
      <c r="BF330" s="30" t="str">
        <f t="shared" si="307"/>
        <v>0,296847392521924+0,0583501236101573i</v>
      </c>
      <c r="BG330" s="68">
        <f t="shared" si="308"/>
        <v>-10.3846922424937</v>
      </c>
      <c r="BH330" s="31">
        <f t="shared" si="309"/>
        <v>11.1206254285401</v>
      </c>
      <c r="BI330" s="30" t="str">
        <f t="shared" si="316"/>
        <v>0,0915665286603935+1,39901502189026i</v>
      </c>
      <c r="BJ330" s="68">
        <f t="shared" si="310"/>
        <v>2.93501210791679</v>
      </c>
      <c r="BK330" s="31">
        <f t="shared" si="317"/>
        <v>86.2552915556119</v>
      </c>
      <c r="BL330" s="32">
        <f t="shared" si="311"/>
        <v>-10.3846922424937</v>
      </c>
      <c r="BM330" s="31">
        <f t="shared" si="312"/>
        <v>11.1206254285401</v>
      </c>
      <c r="BO330">
        <f t="shared" si="313"/>
        <v>0</v>
      </c>
      <c r="BP330">
        <f t="shared" si="314"/>
        <v>0</v>
      </c>
    </row>
    <row r="331" spans="14:68">
      <c r="N331" s="7">
        <v>13</v>
      </c>
      <c r="O331" s="18">
        <f t="shared" si="318"/>
        <v>13489.6288259166</v>
      </c>
      <c r="P331" s="86" t="str">
        <f t="shared" si="265"/>
        <v>60</v>
      </c>
      <c r="Q331" s="4" t="str">
        <f t="shared" si="266"/>
        <v>1+110,750241180719i</v>
      </c>
      <c r="R331" s="4">
        <f t="shared" si="277"/>
        <v>110.754755751559</v>
      </c>
      <c r="S331" s="4">
        <f t="shared" si="278"/>
        <v>1.56176724645676</v>
      </c>
      <c r="T331" s="4" t="str">
        <f t="shared" si="267"/>
        <v>1+1,32900289416863i</v>
      </c>
      <c r="U331" s="4">
        <f t="shared" si="279"/>
        <v>1.66320434484419</v>
      </c>
      <c r="V331" s="4">
        <f t="shared" si="280"/>
        <v>0.925733013956323</v>
      </c>
      <c r="W331" t="str">
        <f t="shared" si="268"/>
        <v>1-1,85407769833793i</v>
      </c>
      <c r="X331" s="4">
        <f t="shared" si="281"/>
        <v>2.10656215466672</v>
      </c>
      <c r="Y331" s="4">
        <f t="shared" si="282"/>
        <v>-1.07616511762587</v>
      </c>
      <c r="Z331" t="str">
        <f t="shared" si="269"/>
        <v>0,998514529911339+0,494709011521539i</v>
      </c>
      <c r="AA331" s="4">
        <f t="shared" si="283"/>
        <v>1.11434656751151</v>
      </c>
      <c r="AB331" s="4">
        <f t="shared" si="284"/>
        <v>0.459996957849968</v>
      </c>
      <c r="AC331" s="67" t="str">
        <f t="shared" si="285"/>
        <v>-0,963716740302429-1,40443769875466i</v>
      </c>
      <c r="AD331" s="68">
        <f t="shared" si="286"/>
        <v>4.62576951035964</v>
      </c>
      <c r="AE331" s="31">
        <f t="shared" si="287"/>
        <v>-124.45768072094</v>
      </c>
      <c r="AF331" s="32" t="str">
        <f t="shared" si="288"/>
        <v>326,048966736478</v>
      </c>
      <c r="AG331" s="32" t="str">
        <f t="shared" si="270"/>
        <v>1+71,1965836161766i</v>
      </c>
      <c r="AH331" s="32">
        <f t="shared" si="289"/>
        <v>71.2036060787319</v>
      </c>
      <c r="AI331" s="32">
        <f t="shared" si="290"/>
        <v>1.55675163255254</v>
      </c>
      <c r="AJ331" s="32" t="str">
        <f t="shared" si="271"/>
        <v>1+1,32900289416863i</v>
      </c>
      <c r="AK331" s="32">
        <f t="shared" si="291"/>
        <v>1.66320434484419</v>
      </c>
      <c r="AL331" s="32">
        <f t="shared" si="292"/>
        <v>0.925733013956323</v>
      </c>
      <c r="AM331" s="32" t="str">
        <f t="shared" si="272"/>
        <v>1-0,219331742394471i</v>
      </c>
      <c r="AN331" s="32">
        <f t="shared" si="293"/>
        <v>1.02377068390426</v>
      </c>
      <c r="AO331" s="32">
        <f t="shared" si="294"/>
        <v>-0.215912808564792</v>
      </c>
      <c r="AP331" s="30" t="str">
        <f t="shared" si="295"/>
        <v>5,16385830054309-5,84193682346175i</v>
      </c>
      <c r="AQ331" s="32">
        <f t="shared" si="296"/>
        <v>17.8385827883434</v>
      </c>
      <c r="AR331" s="31">
        <f t="shared" si="297"/>
        <v>-48.5255963133171</v>
      </c>
      <c r="AS331" t="str">
        <f t="shared" si="273"/>
        <v>-0,000100699300699301</v>
      </c>
      <c r="AT331" t="str">
        <f t="shared" si="274"/>
        <v>0,0190450861173272i</v>
      </c>
      <c r="AU331">
        <f t="shared" si="298"/>
        <v>0.0190450861173272</v>
      </c>
      <c r="AV331">
        <f t="shared" si="299"/>
        <v>1.5707963267949</v>
      </c>
      <c r="AW331" t="str">
        <f t="shared" si="275"/>
        <v>1+0,975073477058387i</v>
      </c>
      <c r="AX331">
        <f t="shared" si="300"/>
        <v>1.39669906768163</v>
      </c>
      <c r="AY331">
        <f t="shared" si="301"/>
        <v>0.772778278649524</v>
      </c>
      <c r="AZ331" t="str">
        <f t="shared" si="276"/>
        <v>1+46,6168107010679i</v>
      </c>
      <c r="BA331">
        <f t="shared" si="302"/>
        <v>46.6275352119239</v>
      </c>
      <c r="BB331">
        <f t="shared" si="303"/>
        <v>1.54934812734695</v>
      </c>
      <c r="BC331" s="30" t="str">
        <f t="shared" si="304"/>
        <v>-0,123708628929331+0,125912419353462i</v>
      </c>
      <c r="BD331" s="32">
        <f t="shared" si="305"/>
        <v>-15.0643374133425</v>
      </c>
      <c r="BE331" s="31">
        <f t="shared" si="306"/>
        <v>134.494174827475</v>
      </c>
      <c r="BF331" s="30" t="str">
        <f t="shared" si="307"/>
        <v>0,296056225100466+0,0523971557866929i</v>
      </c>
      <c r="BG331" s="68">
        <f t="shared" si="308"/>
        <v>-10.4385679029828</v>
      </c>
      <c r="BH331" s="31">
        <f t="shared" si="309"/>
        <v>10.0364941065352</v>
      </c>
      <c r="BI331" s="30" t="str">
        <f t="shared" si="316"/>
        <v>0,0967585688066166+1,37289188654206i</v>
      </c>
      <c r="BJ331" s="68">
        <f t="shared" si="310"/>
        <v>2.77424537500095</v>
      </c>
      <c r="BK331" s="31">
        <f t="shared" si="317"/>
        <v>85.9685785141584</v>
      </c>
      <c r="BL331" s="32">
        <f t="shared" si="311"/>
        <v>-10.4385679029828</v>
      </c>
      <c r="BM331" s="31">
        <f t="shared" si="312"/>
        <v>10.0364941065352</v>
      </c>
      <c r="BO331">
        <f t="shared" si="313"/>
        <v>0</v>
      </c>
      <c r="BP331">
        <f t="shared" si="314"/>
        <v>0</v>
      </c>
    </row>
    <row r="332" spans="14:68">
      <c r="N332" s="7">
        <v>14</v>
      </c>
      <c r="O332" s="18">
        <f t="shared" si="318"/>
        <v>13803.8426460288</v>
      </c>
      <c r="P332" s="86" t="str">
        <f t="shared" si="265"/>
        <v>60</v>
      </c>
      <c r="Q332" s="4" t="str">
        <f t="shared" si="266"/>
        <v>1+113,329945693632i</v>
      </c>
      <c r="R332" s="4">
        <f t="shared" si="277"/>
        <v>113.33435750434</v>
      </c>
      <c r="S332" s="4">
        <f t="shared" si="278"/>
        <v>1.56197276262584</v>
      </c>
      <c r="T332" s="4" t="str">
        <f t="shared" si="267"/>
        <v>1+1,35995934832359i</v>
      </c>
      <c r="U332" s="4">
        <f t="shared" si="279"/>
        <v>1.68804307678824</v>
      </c>
      <c r="V332" s="4">
        <f t="shared" si="280"/>
        <v>0.936759341106375</v>
      </c>
      <c r="W332" t="str">
        <f t="shared" si="268"/>
        <v>1-1,89726471585322i</v>
      </c>
      <c r="X332" s="4">
        <f t="shared" si="281"/>
        <v>2.1446709309406</v>
      </c>
      <c r="Y332" s="4">
        <f t="shared" si="282"/>
        <v>-1.08572439105471</v>
      </c>
      <c r="Z332" t="str">
        <f t="shared" si="269"/>
        <v>0,998444521862887+0,506232264708125i</v>
      </c>
      <c r="AA332" s="4">
        <f t="shared" si="283"/>
        <v>1.11944743917235</v>
      </c>
      <c r="AB332" s="4">
        <f t="shared" si="284"/>
        <v>0.46924856046097</v>
      </c>
      <c r="AC332" s="67" t="str">
        <f t="shared" si="285"/>
        <v>-0,979952536391916-1,4039206522812i</v>
      </c>
      <c r="AD332" s="68">
        <f t="shared" si="286"/>
        <v>4.67060293410657</v>
      </c>
      <c r="AE332" s="31">
        <f t="shared" si="287"/>
        <v>-124.915477726848</v>
      </c>
      <c r="AF332" s="32" t="str">
        <f t="shared" si="288"/>
        <v>326,048966736478</v>
      </c>
      <c r="AG332" s="32" t="str">
        <f t="shared" si="270"/>
        <v>1+72,8549650887636i</v>
      </c>
      <c r="AH332" s="32">
        <f t="shared" si="289"/>
        <v>72.8618277157866</v>
      </c>
      <c r="AI332" s="32">
        <f t="shared" si="290"/>
        <v>1.55707128820947</v>
      </c>
      <c r="AJ332" s="32" t="str">
        <f t="shared" si="271"/>
        <v>1+1,35995934832359i</v>
      </c>
      <c r="AK332" s="32">
        <f t="shared" si="291"/>
        <v>1.68804307678824</v>
      </c>
      <c r="AL332" s="32">
        <f t="shared" si="292"/>
        <v>0.936759341106375</v>
      </c>
      <c r="AM332" s="32" t="str">
        <f t="shared" si="272"/>
        <v>1-0,224440634976988i</v>
      </c>
      <c r="AN332" s="32">
        <f t="shared" si="293"/>
        <v>1.0248773578477</v>
      </c>
      <c r="AO332" s="32">
        <f t="shared" si="294"/>
        <v>-0.22078196692985</v>
      </c>
      <c r="AP332" s="30" t="str">
        <f t="shared" si="295"/>
        <v>5,16100968722336-5,77047738883341i</v>
      </c>
      <c r="AQ332" s="32">
        <f t="shared" si="296"/>
        <v>17.7767638144973</v>
      </c>
      <c r="AR332" s="31">
        <f t="shared" si="297"/>
        <v>-48.1911314482269</v>
      </c>
      <c r="AS332" t="str">
        <f t="shared" si="273"/>
        <v>-0,000100699300699301</v>
      </c>
      <c r="AT332" t="str">
        <f t="shared" si="274"/>
        <v>0,0194887031612443i</v>
      </c>
      <c r="AU332">
        <f t="shared" si="298"/>
        <v>0.0194887031612443</v>
      </c>
      <c r="AV332">
        <f t="shared" si="299"/>
        <v>1.5707963267949</v>
      </c>
      <c r="AW332" t="str">
        <f t="shared" si="275"/>
        <v>1+0,997785856032667i</v>
      </c>
      <c r="AX332">
        <f t="shared" si="300"/>
        <v>1.41264879375549</v>
      </c>
      <c r="AY332">
        <f t="shared" si="301"/>
        <v>0.784289864900848</v>
      </c>
      <c r="AZ332" t="str">
        <f t="shared" si="276"/>
        <v>1+47,7026557128809i</v>
      </c>
      <c r="BA332">
        <f t="shared" si="302"/>
        <v>47.7131361583123</v>
      </c>
      <c r="BB332">
        <f t="shared" si="303"/>
        <v>1.54983620332776</v>
      </c>
      <c r="BC332" s="30" t="str">
        <f t="shared" si="304"/>
        <v>-0,120930896977244+0,125830198671196i</v>
      </c>
      <c r="BD332" s="32">
        <f t="shared" si="305"/>
        <v>-15.1630545136673</v>
      </c>
      <c r="BE332" s="31">
        <f t="shared" si="306"/>
        <v>133.862574213556</v>
      </c>
      <c r="BF332" s="30" t="str">
        <f t="shared" si="307"/>
        <v>0,295162153816138+0,0464697614227058i</v>
      </c>
      <c r="BG332" s="68">
        <f t="shared" si="308"/>
        <v>-10.4924515795607</v>
      </c>
      <c r="BH332" s="31">
        <f t="shared" si="309"/>
        <v>8.94709648670813</v>
      </c>
      <c r="BI332" s="30" t="str">
        <f t="shared" si="316"/>
        <v>0,101974785480386+1,34723988090581i</v>
      </c>
      <c r="BJ332" s="68">
        <f t="shared" si="310"/>
        <v>2.61370930083002</v>
      </c>
      <c r="BK332" s="31">
        <f t="shared" si="317"/>
        <v>85.6714427653293</v>
      </c>
      <c r="BL332" s="32">
        <f t="shared" si="311"/>
        <v>-10.4924515795607</v>
      </c>
      <c r="BM332" s="31">
        <f t="shared" si="312"/>
        <v>8.94709648670813</v>
      </c>
      <c r="BO332">
        <f t="shared" si="313"/>
        <v>0</v>
      </c>
      <c r="BP332">
        <f t="shared" si="314"/>
        <v>0</v>
      </c>
    </row>
    <row r="333" spans="14:68">
      <c r="N333" s="7">
        <v>15</v>
      </c>
      <c r="O333" s="18">
        <f t="shared" si="318"/>
        <v>14125.3754462276</v>
      </c>
      <c r="P333" s="86" t="str">
        <f t="shared" si="265"/>
        <v>60</v>
      </c>
      <c r="Q333" s="4" t="str">
        <f t="shared" si="266"/>
        <v>1+115,969739243853i</v>
      </c>
      <c r="R333" s="4">
        <f t="shared" si="277"/>
        <v>115.974050633266</v>
      </c>
      <c r="S333" s="4">
        <f t="shared" si="278"/>
        <v>1.56217360139602</v>
      </c>
      <c r="T333" s="4" t="str">
        <f t="shared" si="267"/>
        <v>1+1,39163687092624i</v>
      </c>
      <c r="U333" s="4">
        <f t="shared" si="279"/>
        <v>1.7136665896613</v>
      </c>
      <c r="V333" s="4">
        <f t="shared" si="280"/>
        <v>0.947710246701656</v>
      </c>
      <c r="W333" t="str">
        <f t="shared" si="268"/>
        <v>1-1,94145768823415i</v>
      </c>
      <c r="X333" s="4">
        <f t="shared" si="281"/>
        <v>2.18386308069061</v>
      </c>
      <c r="Y333" s="4">
        <f t="shared" si="282"/>
        <v>-1.09516007934489</v>
      </c>
      <c r="Z333" t="str">
        <f t="shared" si="269"/>
        <v>0,99837121443676+0,518023928942244i</v>
      </c>
      <c r="AA333" s="4">
        <f t="shared" si="283"/>
        <v>1.12476391868369</v>
      </c>
      <c r="AB333" s="4">
        <f t="shared" si="284"/>
        <v>0.478628652737843</v>
      </c>
      <c r="AC333" s="67" t="str">
        <f t="shared" si="285"/>
        <v>-0,996623857375287-1,40354729302615i</v>
      </c>
      <c r="AD333" s="68">
        <f t="shared" si="286"/>
        <v>4.71761568378011</v>
      </c>
      <c r="AE333" s="31">
        <f t="shared" si="287"/>
        <v>-125.377609083022</v>
      </c>
      <c r="AF333" s="32" t="str">
        <f t="shared" si="288"/>
        <v>326,048966736478</v>
      </c>
      <c r="AG333" s="32" t="str">
        <f t="shared" si="270"/>
        <v>1+74,5519752281913i</v>
      </c>
      <c r="AH333" s="32">
        <f t="shared" si="289"/>
        <v>74.5586816569663</v>
      </c>
      <c r="AI333" s="32">
        <f t="shared" si="290"/>
        <v>1.55738367032578</v>
      </c>
      <c r="AJ333" s="32" t="str">
        <f t="shared" si="271"/>
        <v>1+1,39163687092624i</v>
      </c>
      <c r="AK333" s="32">
        <f t="shared" si="291"/>
        <v>1.7136665896613</v>
      </c>
      <c r="AL333" s="32">
        <f t="shared" si="292"/>
        <v>0.947710246701656</v>
      </c>
      <c r="AM333" s="32" t="str">
        <f t="shared" si="272"/>
        <v>1-0,229668528954997i</v>
      </c>
      <c r="AN333" s="32">
        <f t="shared" si="293"/>
        <v>1.02603490836928</v>
      </c>
      <c r="AO333" s="32">
        <f t="shared" si="294"/>
        <v>-0.225753547993001</v>
      </c>
      <c r="AP333" s="30" t="str">
        <f t="shared" si="295"/>
        <v>5,15828923540903-5,70207401783787i</v>
      </c>
      <c r="AQ333" s="32">
        <f t="shared" si="296"/>
        <v>17.7174614898338</v>
      </c>
      <c r="AR333" s="31">
        <f t="shared" si="297"/>
        <v>-47.866439565057</v>
      </c>
      <c r="AS333" t="str">
        <f t="shared" si="273"/>
        <v>-0,000100699300699301</v>
      </c>
      <c r="AT333" t="str">
        <f t="shared" si="274"/>
        <v>0,0199426533735412i</v>
      </c>
      <c r="AU333">
        <f t="shared" si="298"/>
        <v>0.0199426533735412</v>
      </c>
      <c r="AV333">
        <f t="shared" si="299"/>
        <v>1.5707963267949</v>
      </c>
      <c r="AW333" t="str">
        <f t="shared" si="275"/>
        <v>1+1,02102727427509i</v>
      </c>
      <c r="AX333">
        <f t="shared" si="300"/>
        <v>1.42915943645684</v>
      </c>
      <c r="AY333">
        <f t="shared" si="301"/>
        <v>0.795802038629047</v>
      </c>
      <c r="AZ333" t="str">
        <f t="shared" si="276"/>
        <v>1+48,8137933041728i</v>
      </c>
      <c r="BA333">
        <f t="shared" si="302"/>
        <v>48.8240352361673</v>
      </c>
      <c r="BB333">
        <f t="shared" si="303"/>
        <v>1.55031317899397</v>
      </c>
      <c r="BC333" s="30" t="str">
        <f t="shared" si="304"/>
        <v>-0,118152881515521+0,125686758023908i</v>
      </c>
      <c r="BD333" s="32">
        <f t="shared" si="305"/>
        <v>-15.2640699396444</v>
      </c>
      <c r="BE333" s="31">
        <f t="shared" si="306"/>
        <v>133.230303938513</v>
      </c>
      <c r="BF333" s="30" t="str">
        <f t="shared" si="307"/>
        <v>0,294161289529693+0,0405707354115674i</v>
      </c>
      <c r="BG333" s="68">
        <f t="shared" si="308"/>
        <v>-10.5464542558643</v>
      </c>
      <c r="BH333" s="31">
        <f t="shared" si="309"/>
        <v>7.85269485549031</v>
      </c>
      <c r="BI333" s="30" t="str">
        <f t="shared" si="316"/>
        <v>0,107208460460331+1,32204512677051i</v>
      </c>
      <c r="BJ333" s="68">
        <f t="shared" si="310"/>
        <v>2.45339155018931</v>
      </c>
      <c r="BK333" s="31">
        <f t="shared" si="317"/>
        <v>85.3638643734557</v>
      </c>
      <c r="BL333" s="32">
        <f t="shared" si="311"/>
        <v>-10.5464542558643</v>
      </c>
      <c r="BM333" s="31">
        <f t="shared" si="312"/>
        <v>7.85269485549031</v>
      </c>
      <c r="BO333">
        <f t="shared" si="313"/>
        <v>0</v>
      </c>
      <c r="BP333">
        <f t="shared" si="314"/>
        <v>0</v>
      </c>
    </row>
    <row r="334" spans="14:68">
      <c r="N334" s="7">
        <v>16</v>
      </c>
      <c r="O334" s="18">
        <f t="shared" si="318"/>
        <v>14454.3977074593</v>
      </c>
      <c r="P334" s="86" t="str">
        <f t="shared" si="265"/>
        <v>60</v>
      </c>
      <c r="Q334" s="4" t="str">
        <f t="shared" si="266"/>
        <v>1+118,671021484861i</v>
      </c>
      <c r="R334" s="4">
        <f t="shared" si="277"/>
        <v>118.675234738594</v>
      </c>
      <c r="S334" s="4">
        <f t="shared" si="278"/>
        <v>1.56236986918983</v>
      </c>
      <c r="T334" s="4" t="str">
        <f t="shared" si="267"/>
        <v>1+1,42405225781833i</v>
      </c>
      <c r="U334" s="4">
        <f t="shared" si="279"/>
        <v>1.7400933403118</v>
      </c>
      <c r="V334" s="4">
        <f t="shared" si="280"/>
        <v>0.958581031257365</v>
      </c>
      <c r="W334" t="str">
        <f t="shared" si="268"/>
        <v>1-1,98668004717959i</v>
      </c>
      <c r="X334" s="4">
        <f t="shared" si="281"/>
        <v>2.2241622265162</v>
      </c>
      <c r="Y334" s="4">
        <f t="shared" si="282"/>
        <v>-1.10447046391352</v>
      </c>
      <c r="Z334" t="str">
        <f t="shared" si="269"/>
        <v>0,998294452138078+0,530090256320341i</v>
      </c>
      <c r="AA334" s="4">
        <f t="shared" si="283"/>
        <v>1.13030415951435</v>
      </c>
      <c r="AB334" s="4">
        <f t="shared" si="284"/>
        <v>0.488135755569748</v>
      </c>
      <c r="AC334" s="67" t="str">
        <f t="shared" si="285"/>
        <v>-1,01373182475902-1,40329252614301i</v>
      </c>
      <c r="AD334" s="68">
        <f t="shared" si="286"/>
        <v>4.7666966158577</v>
      </c>
      <c r="AE334" s="31">
        <f t="shared" si="287"/>
        <v>-125.844166933315</v>
      </c>
      <c r="AF334" s="32" t="str">
        <f t="shared" si="288"/>
        <v>326,048966736478</v>
      </c>
      <c r="AG334" s="32" t="str">
        <f t="shared" si="270"/>
        <v>1+76,2885138116965i</v>
      </c>
      <c r="AH334" s="32">
        <f t="shared" si="289"/>
        <v>76.2950675967812</v>
      </c>
      <c r="AI334" s="32">
        <f t="shared" si="290"/>
        <v>1.55768894428661</v>
      </c>
      <c r="AJ334" s="32" t="str">
        <f t="shared" si="271"/>
        <v>1+1,42405225781833i</v>
      </c>
      <c r="AK334" s="32">
        <f t="shared" si="291"/>
        <v>1.7400933403118</v>
      </c>
      <c r="AL334" s="32">
        <f t="shared" si="292"/>
        <v>0.958581031257365</v>
      </c>
      <c r="AM334" s="32" t="str">
        <f t="shared" si="272"/>
        <v>1-0,235018196227077i</v>
      </c>
      <c r="AN334" s="32">
        <f t="shared" si="293"/>
        <v>1.02724561452353</v>
      </c>
      <c r="AO334" s="32">
        <f t="shared" si="294"/>
        <v>-0.230829204263776</v>
      </c>
      <c r="AP334" s="30" t="str">
        <f t="shared" si="295"/>
        <v>5,15569118103539-5,63669067695439i</v>
      </c>
      <c r="AQ334" s="32">
        <f t="shared" si="296"/>
        <v>17.6606641372436</v>
      </c>
      <c r="AR334" s="31">
        <f t="shared" si="297"/>
        <v>-47.5518940821441</v>
      </c>
      <c r="AS334" t="str">
        <f t="shared" si="273"/>
        <v>-0,000100699300699301</v>
      </c>
      <c r="AT334" t="str">
        <f t="shared" si="274"/>
        <v>0,0204071774446288i</v>
      </c>
      <c r="AU334">
        <f t="shared" si="298"/>
        <v>0.0204071774446288</v>
      </c>
      <c r="AV334">
        <f t="shared" si="299"/>
        <v>1.5707963267949</v>
      </c>
      <c r="AW334" t="str">
        <f t="shared" si="275"/>
        <v>1+1,04481005469322i</v>
      </c>
      <c r="AX334">
        <f t="shared" si="300"/>
        <v>1.44624619286899</v>
      </c>
      <c r="AY334">
        <f t="shared" si="301"/>
        <v>0.807308699137928</v>
      </c>
      <c r="AZ334" t="str">
        <f t="shared" si="276"/>
        <v>1+49,9508126148012i</v>
      </c>
      <c r="BA334">
        <f t="shared" si="302"/>
        <v>49.9608214592092</v>
      </c>
      <c r="BB334">
        <f t="shared" si="303"/>
        <v>1.55077930637575</v>
      </c>
      <c r="BC334" s="30" t="str">
        <f t="shared" si="304"/>
        <v>-0,115377526101442+0,125482103452954i</v>
      </c>
      <c r="BD334" s="32">
        <f t="shared" si="305"/>
        <v>-15.3673828880345</v>
      </c>
      <c r="BE334" s="31">
        <f t="shared" si="306"/>
        <v>132.597727986756</v>
      </c>
      <c r="BF334" s="30" t="str">
        <f t="shared" si="307"/>
        <v>0,293049968011231+0,0347032183550605i</v>
      </c>
      <c r="BG334" s="68">
        <f t="shared" si="308"/>
        <v>-10.6006862721768</v>
      </c>
      <c r="BH334" s="31">
        <f t="shared" si="309"/>
        <v>6.75356105344036</v>
      </c>
      <c r="BI334" s="30" t="str">
        <f t="shared" si="316"/>
        <v>0,112452908847007+1,29729439985623i</v>
      </c>
      <c r="BJ334" s="68">
        <f t="shared" si="310"/>
        <v>2.29328124920917</v>
      </c>
      <c r="BK334" s="31">
        <f t="shared" si="317"/>
        <v>85.0458339046117</v>
      </c>
      <c r="BL334" s="32">
        <f t="shared" si="311"/>
        <v>-10.6006862721768</v>
      </c>
      <c r="BM334" s="31">
        <f t="shared" si="312"/>
        <v>6.75356105344036</v>
      </c>
      <c r="BO334">
        <f t="shared" si="313"/>
        <v>0</v>
      </c>
      <c r="BP334">
        <f t="shared" si="314"/>
        <v>0</v>
      </c>
    </row>
    <row r="335" spans="14:68">
      <c r="N335" s="7">
        <v>17</v>
      </c>
      <c r="O335" s="18">
        <f t="shared" si="318"/>
        <v>14791.0838816821</v>
      </c>
      <c r="P335" s="86" t="str">
        <f t="shared" si="265"/>
        <v>60</v>
      </c>
      <c r="Q335" s="4" t="str">
        <f t="shared" si="266"/>
        <v>1+121,435224672257i</v>
      </c>
      <c r="R335" s="4">
        <f t="shared" si="277"/>
        <v>121.439342023916</v>
      </c>
      <c r="S335" s="4">
        <f t="shared" si="278"/>
        <v>1.56256167001054</v>
      </c>
      <c r="T335" s="4" t="str">
        <f t="shared" si="267"/>
        <v>1+1,45722269606709i</v>
      </c>
      <c r="U335" s="4">
        <f t="shared" si="279"/>
        <v>1.76734206817272</v>
      </c>
      <c r="V335" s="4">
        <f t="shared" si="280"/>
        <v>0.969367181628116</v>
      </c>
      <c r="W335" t="str">
        <f t="shared" si="268"/>
        <v>1-2,03295577018288i</v>
      </c>
      <c r="X335" s="4">
        <f t="shared" si="281"/>
        <v>2.26559245309475</v>
      </c>
      <c r="Y335" s="4">
        <f t="shared" si="282"/>
        <v>-1.11365402390412</v>
      </c>
      <c r="Z335" t="str">
        <f t="shared" si="269"/>
        <v>0,998214072143715+0,542437644568913i</v>
      </c>
      <c r="AA335" s="4">
        <f t="shared" si="283"/>
        <v>1.13607655202949</v>
      </c>
      <c r="AB335" s="4">
        <f t="shared" si="284"/>
        <v>0.497768193090885</v>
      </c>
      <c r="AC335" s="67" t="str">
        <f t="shared" si="285"/>
        <v>-1,03127660521835-1,403130971739i</v>
      </c>
      <c r="AD335" s="68">
        <f t="shared" si="286"/>
        <v>4.81773306022521</v>
      </c>
      <c r="AE335" s="31">
        <f t="shared" si="287"/>
        <v>-126.315232662163</v>
      </c>
      <c r="AF335" s="32" t="str">
        <f t="shared" si="288"/>
        <v>326,048966736478</v>
      </c>
      <c r="AG335" s="32" t="str">
        <f t="shared" si="270"/>
        <v>1+78,0655015750225i</v>
      </c>
      <c r="AH335" s="32">
        <f t="shared" si="289"/>
        <v>78.071906190126</v>
      </c>
      <c r="AI335" s="32">
        <f t="shared" si="290"/>
        <v>1.55798727172452</v>
      </c>
      <c r="AJ335" s="32" t="str">
        <f t="shared" si="271"/>
        <v>1+1,45722269606709i</v>
      </c>
      <c r="AK335" s="32">
        <f t="shared" si="291"/>
        <v>1.76734206817272</v>
      </c>
      <c r="AL335" s="32">
        <f t="shared" si="292"/>
        <v>0.969367181628116</v>
      </c>
      <c r="AM335" s="32" t="str">
        <f t="shared" si="272"/>
        <v>1-0,240492473257631i</v>
      </c>
      <c r="AN335" s="32">
        <f t="shared" si="293"/>
        <v>1.0285118519947</v>
      </c>
      <c r="AO335" s="32">
        <f t="shared" si="294"/>
        <v>-0.236010580372106</v>
      </c>
      <c r="AP335" s="30" t="str">
        <f t="shared" si="295"/>
        <v>5,1532100190981-5,57429291825581i</v>
      </c>
      <c r="AQ335" s="32">
        <f t="shared" si="296"/>
        <v>17.60635921685</v>
      </c>
      <c r="AR335" s="31">
        <f t="shared" si="297"/>
        <v>-47.2478570748888</v>
      </c>
      <c r="AS335" t="str">
        <f t="shared" si="273"/>
        <v>-0,000100699300699301</v>
      </c>
      <c r="AT335" t="str">
        <f t="shared" si="274"/>
        <v>0,0208825216713185i</v>
      </c>
      <c r="AU335">
        <f t="shared" si="298"/>
        <v>0.0208825216713185</v>
      </c>
      <c r="AV335">
        <f t="shared" si="299"/>
        <v>1.5707963267949</v>
      </c>
      <c r="AW335" t="str">
        <f t="shared" si="275"/>
        <v>1+1,06914680723204i</v>
      </c>
      <c r="AX335">
        <f t="shared" si="300"/>
        <v>1.4639244841912</v>
      </c>
      <c r="AY335">
        <f t="shared" si="301"/>
        <v>0.818803760326488</v>
      </c>
      <c r="AZ335" t="str">
        <f t="shared" si="276"/>
        <v>1+51,1143165074551i</v>
      </c>
      <c r="BA335">
        <f t="shared" si="302"/>
        <v>51.1240975668451</v>
      </c>
      <c r="BB335">
        <f t="shared" si="303"/>
        <v>1.55123483180934</v>
      </c>
      <c r="BC335" s="30" t="str">
        <f t="shared" si="304"/>
        <v>-0,112607763029899+0,125216411383054i</v>
      </c>
      <c r="BD335" s="32">
        <f t="shared" si="305"/>
        <v>-15.4729901117559</v>
      </c>
      <c r="BE335" s="31">
        <f t="shared" si="306"/>
        <v>131.965209180212</v>
      </c>
      <c r="BF335" s="30" t="str">
        <f t="shared" si="307"/>
        <v>0,291824776560282+0,0288706843167569i</v>
      </c>
      <c r="BG335" s="68">
        <f t="shared" si="308"/>
        <v>-10.6552570515306</v>
      </c>
      <c r="BH335" s="31">
        <f t="shared" si="309"/>
        <v>5.64997651804912</v>
      </c>
      <c r="BI335" s="30" t="str">
        <f t="shared" si="316"/>
        <v>0,117701502548064+1,27297512169286i</v>
      </c>
      <c r="BJ335" s="68">
        <f t="shared" si="310"/>
        <v>2.13336910509416</v>
      </c>
      <c r="BK335" s="31">
        <f t="shared" si="317"/>
        <v>84.7173521053235</v>
      </c>
      <c r="BL335" s="32">
        <f t="shared" si="311"/>
        <v>-10.6552570515306</v>
      </c>
      <c r="BM335" s="31">
        <f t="shared" si="312"/>
        <v>5.64997651804912</v>
      </c>
      <c r="BO335">
        <f t="shared" si="313"/>
        <v>0</v>
      </c>
      <c r="BP335">
        <f t="shared" si="314"/>
        <v>0</v>
      </c>
    </row>
    <row r="336" spans="14:68">
      <c r="N336" s="7">
        <v>18</v>
      </c>
      <c r="O336" s="18">
        <f t="shared" si="318"/>
        <v>15135.6124843621</v>
      </c>
      <c r="P336" s="86" t="str">
        <f t="shared" si="265"/>
        <v>60</v>
      </c>
      <c r="Q336" s="4" t="str">
        <f t="shared" si="266"/>
        <v>1+124,26381442316i</v>
      </c>
      <c r="R336" s="4">
        <f t="shared" si="277"/>
        <v>124.267838055522</v>
      </c>
      <c r="S336" s="4">
        <f t="shared" si="278"/>
        <v>1.56274910549701</v>
      </c>
      <c r="T336" s="4" t="str">
        <f t="shared" si="267"/>
        <v>1+1,49116577307792i</v>
      </c>
      <c r="U336" s="4">
        <f t="shared" si="279"/>
        <v>1.79543180399565</v>
      </c>
      <c r="V336" s="4">
        <f t="shared" si="280"/>
        <v>0.980064377871847</v>
      </c>
      <c r="W336" t="str">
        <f t="shared" si="268"/>
        <v>1-2,08030939324486i</v>
      </c>
      <c r="X336" s="4">
        <f t="shared" si="281"/>
        <v>2.30817832318536</v>
      </c>
      <c r="Y336" s="4">
        <f t="shared" si="282"/>
        <v>-1.12270943144801</v>
      </c>
      <c r="Z336" t="str">
        <f t="shared" si="269"/>
        <v>0,998129903956924+0,555072640436647i</v>
      </c>
      <c r="AA336" s="4">
        <f t="shared" si="283"/>
        <v>1.14208972560582</v>
      </c>
      <c r="AB336" s="4">
        <f t="shared" si="284"/>
        <v>0.507524088444778</v>
      </c>
      <c r="AC336" s="67" t="str">
        <f t="shared" si="285"/>
        <v>-1,04925736183005-1,40303701077272i</v>
      </c>
      <c r="AD336" s="68">
        <f t="shared" si="286"/>
        <v>4.87061110155775</v>
      </c>
      <c r="AE336" s="31">
        <f t="shared" si="287"/>
        <v>-126.790875990265</v>
      </c>
      <c r="AF336" s="32" t="str">
        <f t="shared" si="288"/>
        <v>326,048966736478</v>
      </c>
      <c r="AG336" s="32" t="str">
        <f t="shared" si="270"/>
        <v>1+79,8838807006027i</v>
      </c>
      <c r="AH336" s="32">
        <f t="shared" si="289"/>
        <v>79.8901395404222</v>
      </c>
      <c r="AI336" s="32">
        <f t="shared" si="290"/>
        <v>1.55827881060414</v>
      </c>
      <c r="AJ336" s="32" t="str">
        <f t="shared" si="271"/>
        <v>1+1,49116577307792i</v>
      </c>
      <c r="AK336" s="32">
        <f t="shared" si="291"/>
        <v>1.79543180399565</v>
      </c>
      <c r="AL336" s="32">
        <f t="shared" si="292"/>
        <v>0.980064377871847</v>
      </c>
      <c r="AM336" s="32" t="str">
        <f t="shared" si="272"/>
        <v>1-0,2460942625808i</v>
      </c>
      <c r="AN336" s="32">
        <f t="shared" si="293"/>
        <v>1.02983609670432</v>
      </c>
      <c r="AO336" s="32">
        <f t="shared" si="294"/>
        <v>-0.241299310241287</v>
      </c>
      <c r="AP336" s="30" t="str">
        <f t="shared" si="295"/>
        <v>5,15084049202552-5,51484786218859i</v>
      </c>
      <c r="AQ336" s="32">
        <f t="shared" si="296"/>
        <v>17.5545334529053</v>
      </c>
      <c r="AR336" s="31">
        <f t="shared" si="297"/>
        <v>-46.9546787253549</v>
      </c>
      <c r="AS336" t="str">
        <f t="shared" si="273"/>
        <v>-0,000100699300699301</v>
      </c>
      <c r="AT336" t="str">
        <f t="shared" si="274"/>
        <v>0,0213689380874112i</v>
      </c>
      <c r="AU336">
        <f t="shared" si="298"/>
        <v>0.0213689380874112</v>
      </c>
      <c r="AV336">
        <f t="shared" si="299"/>
        <v>1.5707963267949</v>
      </c>
      <c r="AW336" t="str">
        <f t="shared" si="275"/>
        <v>1+1,09405043555989i</v>
      </c>
      <c r="AX336">
        <f t="shared" si="300"/>
        <v>1.48220995663529</v>
      </c>
      <c r="AY336">
        <f t="shared" si="301"/>
        <v>0.830281166745942</v>
      </c>
      <c r="AZ336" t="str">
        <f t="shared" si="276"/>
        <v>1+52,3049218872993i</v>
      </c>
      <c r="BA336">
        <f t="shared" si="302"/>
        <v>52.3144803437488</v>
      </c>
      <c r="BB336">
        <f t="shared" si="303"/>
        <v>1.55167999606373</v>
      </c>
      <c r="BC336" s="30" t="str">
        <f t="shared" si="304"/>
        <v>-0,10984650097106+0,124890027060005i</v>
      </c>
      <c r="BD336" s="32">
        <f t="shared" si="305"/>
        <v>-15.5808859347189</v>
      </c>
      <c r="BE336" s="31">
        <f t="shared" si="306"/>
        <v>131.333108265588</v>
      </c>
      <c r="BF336" s="30" t="str">
        <f t="shared" si="307"/>
        <v>0,29048258005675+0,0230769260544143i</v>
      </c>
      <c r="BG336" s="68">
        <f t="shared" si="308"/>
        <v>-10.7102748331611</v>
      </c>
      <c r="BH336" s="31">
        <f t="shared" si="309"/>
        <v>4.54223227532308</v>
      </c>
      <c r="BI336" s="30" t="str">
        <f t="shared" si="316"/>
        <v>0,122947693631487+1,24907534947998i</v>
      </c>
      <c r="BJ336" s="68">
        <f t="shared" si="310"/>
        <v>1.97364751818635</v>
      </c>
      <c r="BK336" s="31">
        <f t="shared" si="317"/>
        <v>84.3784295402327</v>
      </c>
      <c r="BL336" s="32">
        <f t="shared" si="311"/>
        <v>-10.7102748331611</v>
      </c>
      <c r="BM336" s="31">
        <f t="shared" si="312"/>
        <v>4.54223227532308</v>
      </c>
      <c r="BO336">
        <f t="shared" si="313"/>
        <v>0</v>
      </c>
      <c r="BP336">
        <f t="shared" si="314"/>
        <v>0</v>
      </c>
    </row>
    <row r="337" spans="14:68">
      <c r="N337" s="7">
        <v>19</v>
      </c>
      <c r="O337" s="18">
        <f t="shared" si="318"/>
        <v>15488.1661891249</v>
      </c>
      <c r="P337" s="86" t="str">
        <f t="shared" si="265"/>
        <v>60</v>
      </c>
      <c r="Q337" s="4" t="str">
        <f t="shared" si="266"/>
        <v>1+127,158290493296i</v>
      </c>
      <c r="R337" s="4">
        <f t="shared" si="277"/>
        <v>127.162222539469</v>
      </c>
      <c r="S337" s="4">
        <f t="shared" si="278"/>
        <v>1.56293227497729</v>
      </c>
      <c r="T337" s="4" t="str">
        <f t="shared" si="267"/>
        <v>1+1,52589948591955i</v>
      </c>
      <c r="U337" s="4">
        <f t="shared" si="279"/>
        <v>1.82438187919348</v>
      </c>
      <c r="V337" s="4">
        <f t="shared" si="280"/>
        <v>0.990668499120135</v>
      </c>
      <c r="W337" t="str">
        <f t="shared" si="268"/>
        <v>1-2,1287660238833i</v>
      </c>
      <c r="X337" s="4">
        <f t="shared" si="281"/>
        <v>2.35194489400579</v>
      </c>
      <c r="Y337" s="4">
        <f t="shared" si="282"/>
        <v>-1.13163554648932</v>
      </c>
      <c r="Z337" t="str">
        <f t="shared" si="269"/>
        <v>0,998041769045698+0,568001943165598i</v>
      </c>
      <c r="AA337" s="4">
        <f t="shared" si="283"/>
        <v>1.14835255048254</v>
      </c>
      <c r="AB337" s="4">
        <f t="shared" si="284"/>
        <v>0.517401360095096</v>
      </c>
      <c r="AC337" s="67" t="str">
        <f t="shared" si="285"/>
        <v>-1,06767220769273-1,40298483628585i</v>
      </c>
      <c r="AD337" s="68">
        <f t="shared" si="286"/>
        <v>4.92521586251416</v>
      </c>
      <c r="AE337" s="31">
        <f t="shared" si="287"/>
        <v>-127.271154133431</v>
      </c>
      <c r="AF337" s="32" t="str">
        <f t="shared" si="288"/>
        <v>326,048966736478</v>
      </c>
      <c r="AG337" s="32" t="str">
        <f t="shared" si="270"/>
        <v>1+81,7446153171188i</v>
      </c>
      <c r="AH337" s="32">
        <f t="shared" si="289"/>
        <v>81.7507316991336</v>
      </c>
      <c r="AI337" s="32">
        <f t="shared" si="290"/>
        <v>1.55856371530489</v>
      </c>
      <c r="AJ337" s="32" t="str">
        <f t="shared" si="271"/>
        <v>1+1,52589948591955i</v>
      </c>
      <c r="AK337" s="32">
        <f t="shared" si="291"/>
        <v>1.82438187919348</v>
      </c>
      <c r="AL337" s="32">
        <f t="shared" si="292"/>
        <v>0.990668499120135</v>
      </c>
      <c r="AM337" s="32" t="str">
        <f t="shared" si="272"/>
        <v>1-0,251826534339434i</v>
      </c>
      <c r="AN337" s="32">
        <f t="shared" si="293"/>
        <v>1.03122092851019</v>
      </c>
      <c r="AO337" s="32">
        <f t="shared" si="294"/>
        <v>-0.246697014077382</v>
      </c>
      <c r="AP337" s="30" t="str">
        <f t="shared" si="295"/>
        <v>5,14857757857195-5,45832418111463i</v>
      </c>
      <c r="AQ337" s="32">
        <f t="shared" si="296"/>
        <v>17.505172962443</v>
      </c>
      <c r="AR337" s="31">
        <f t="shared" si="297"/>
        <v>-46.6726968181692</v>
      </c>
      <c r="AS337" t="str">
        <f t="shared" si="273"/>
        <v>-0,000100699300699301</v>
      </c>
      <c r="AT337" t="str">
        <f t="shared" si="274"/>
        <v>0,0218666845973293i</v>
      </c>
      <c r="AU337">
        <f t="shared" si="298"/>
        <v>0.0218666845973293</v>
      </c>
      <c r="AV337">
        <f t="shared" si="299"/>
        <v>1.5707963267949</v>
      </c>
      <c r="AW337" t="str">
        <f t="shared" si="275"/>
        <v>1+1,11953414391015i</v>
      </c>
      <c r="AX337">
        <f t="shared" si="300"/>
        <v>1.50111848279229</v>
      </c>
      <c r="AY337">
        <f t="shared" si="301"/>
        <v>0.841734909459544</v>
      </c>
      <c r="AZ337" t="str">
        <f t="shared" si="276"/>
        <v>1+53,5232600290658i</v>
      </c>
      <c r="BA337">
        <f t="shared" si="302"/>
        <v>53.5326009468902</v>
      </c>
      <c r="BB337">
        <f t="shared" si="303"/>
        <v>1.55211503446475</v>
      </c>
      <c r="BC337" s="30" t="str">
        <f t="shared" si="304"/>
        <v>-0,107096612819661+0,12450346191913i</v>
      </c>
      <c r="BD337" s="32">
        <f t="shared" si="305"/>
        <v>-15.6910622768081</v>
      </c>
      <c r="BE337" s="31">
        <f t="shared" si="306"/>
        <v>130.701783012774</v>
      </c>
      <c r="BF337" s="30" t="str">
        <f t="shared" si="307"/>
        <v>0,289020546183213+0,0173260377509759i</v>
      </c>
      <c r="BG337" s="68">
        <f t="shared" si="308"/>
        <v>-10.7658464142939</v>
      </c>
      <c r="BH337" s="31">
        <f t="shared" si="309"/>
        <v>3.43062887934261</v>
      </c>
      <c r="BI337" s="30" t="str">
        <f t="shared" si="316"/>
        <v>0,128185037321364+1,22558376396045i</v>
      </c>
      <c r="BJ337" s="68">
        <f t="shared" si="310"/>
        <v>1.81411068563491</v>
      </c>
      <c r="BK337" s="31">
        <f t="shared" si="317"/>
        <v>84.0290861946048</v>
      </c>
      <c r="BL337" s="32">
        <f t="shared" si="311"/>
        <v>-10.7658464142939</v>
      </c>
      <c r="BM337" s="31">
        <f t="shared" si="312"/>
        <v>3.43062887934261</v>
      </c>
      <c r="BO337">
        <f t="shared" si="313"/>
        <v>0</v>
      </c>
      <c r="BP337">
        <f t="shared" si="314"/>
        <v>0</v>
      </c>
    </row>
    <row r="338" spans="14:68">
      <c r="N338" s="7">
        <v>20</v>
      </c>
      <c r="O338" s="18">
        <f t="shared" si="318"/>
        <v>15848.9319246111</v>
      </c>
      <c r="P338" s="86" t="str">
        <f t="shared" si="265"/>
        <v>60</v>
      </c>
      <c r="Q338" s="4" t="str">
        <f t="shared" si="266"/>
        <v>1+130,120187572189i</v>
      </c>
      <c r="R338" s="4">
        <f t="shared" si="277"/>
        <v>130.124030116738</v>
      </c>
      <c r="S338" s="4">
        <f t="shared" si="278"/>
        <v>1.56311127552108</v>
      </c>
      <c r="T338" s="4" t="str">
        <f t="shared" si="267"/>
        <v>1+1,56144225086627i</v>
      </c>
      <c r="U338" s="4">
        <f t="shared" si="279"/>
        <v>1.85421193578035</v>
      </c>
      <c r="V338" s="4">
        <f t="shared" si="280"/>
        <v>1.00117562845711</v>
      </c>
      <c r="W338" t="str">
        <f t="shared" si="268"/>
        <v>1-2,17835135444513i</v>
      </c>
      <c r="X338" s="4">
        <f t="shared" si="281"/>
        <v>2.39691773396855</v>
      </c>
      <c r="Y338" s="4">
        <f t="shared" si="282"/>
        <v>-1.14043141122787</v>
      </c>
      <c r="Z338" t="str">
        <f t="shared" si="269"/>
        <v>0,997949480464074+0,581232408043203i</v>
      </c>
      <c r="AA338" s="4">
        <f t="shared" si="283"/>
        <v>1.15487413934083</v>
      </c>
      <c r="AB338" s="4">
        <f t="shared" si="284"/>
        <v>0.527397718738177</v>
      </c>
      <c r="AC338" s="67" t="str">
        <f t="shared" si="285"/>
        <v>-1,08651816249428-1,40294850991338i</v>
      </c>
      <c r="AD338" s="68">
        <f t="shared" si="286"/>
        <v>4.98143178763547</v>
      </c>
      <c r="AE338" s="31">
        <f t="shared" si="287"/>
        <v>-127.756111030749</v>
      </c>
      <c r="AF338" s="32" t="str">
        <f t="shared" si="288"/>
        <v>326,048966736478</v>
      </c>
      <c r="AG338" s="32" t="str">
        <f t="shared" si="270"/>
        <v>1+83,6486920106931i</v>
      </c>
      <c r="AH338" s="32">
        <f t="shared" si="289"/>
        <v>83.6546691769192</v>
      </c>
      <c r="AI338" s="32">
        <f t="shared" si="290"/>
        <v>1.5588421367019</v>
      </c>
      <c r="AJ338" s="32" t="str">
        <f t="shared" si="271"/>
        <v>1+1,56144225086627i</v>
      </c>
      <c r="AK338" s="32">
        <f t="shared" si="291"/>
        <v>1.85421193578035</v>
      </c>
      <c r="AL338" s="32">
        <f t="shared" si="292"/>
        <v>1.00117562845711</v>
      </c>
      <c r="AM338" s="32" t="str">
        <f t="shared" si="272"/>
        <v>1-0,25769232785989i</v>
      </c>
      <c r="AN338" s="32">
        <f t="shared" si="293"/>
        <v>1.03266903499517</v>
      </c>
      <c r="AO338" s="32">
        <f t="shared" si="294"/>
        <v>-0.252205295169304</v>
      </c>
      <c r="AP338" s="30" t="str">
        <f t="shared" si="295"/>
        <v>5,14641648320781-5,4046920836111i</v>
      </c>
      <c r="AQ338" s="32">
        <f t="shared" si="296"/>
        <v>17.4582633848334</v>
      </c>
      <c r="AR338" s="31">
        <f t="shared" si="297"/>
        <v>-46.4022362822764</v>
      </c>
      <c r="AS338" t="str">
        <f t="shared" si="273"/>
        <v>-0,000100699300699301</v>
      </c>
      <c r="AT338" t="str">
        <f t="shared" si="274"/>
        <v>0,0223760251128604i</v>
      </c>
      <c r="AU338">
        <f t="shared" si="298"/>
        <v>0.0223760251128604</v>
      </c>
      <c r="AV338">
        <f t="shared" si="299"/>
        <v>1.5707963267949</v>
      </c>
      <c r="AW338" t="str">
        <f t="shared" si="275"/>
        <v>1+1,14561144408228i</v>
      </c>
      <c r="AX338">
        <f t="shared" si="300"/>
        <v>1.5206661634995</v>
      </c>
      <c r="AY338">
        <f t="shared" si="301"/>
        <v>0.853159041604466</v>
      </c>
      <c r="AZ338" t="str">
        <f t="shared" si="276"/>
        <v>1+54,7699769117632i</v>
      </c>
      <c r="BA338">
        <f t="shared" si="302"/>
        <v>54.7791052401833</v>
      </c>
      <c r="BB338">
        <f t="shared" si="303"/>
        <v>1.55254017701645</v>
      </c>
      <c r="BC338" s="30" t="str">
        <f t="shared" si="304"/>
        <v>-0,104360923863065+0,124057389915416i</v>
      </c>
      <c r="BD338" s="32">
        <f t="shared" si="305"/>
        <v>-15.8035086887942</v>
      </c>
      <c r="BE338" s="31">
        <f t="shared" si="306"/>
        <v>130.071587330174</v>
      </c>
      <c r="BF338" s="30" t="str">
        <f t="shared" si="307"/>
        <v>0,287436169557479+0,0116223952921366i</v>
      </c>
      <c r="BG338" s="68">
        <f t="shared" si="308"/>
        <v>-10.8220769011587</v>
      </c>
      <c r="BH338" s="31">
        <f t="shared" si="309"/>
        <v>2.31547629942531</v>
      </c>
      <c r="BI338" s="30" t="str">
        <f t="shared" si="316"/>
        <v>0,133407214417631+1,20248965536548i</v>
      </c>
      <c r="BJ338" s="68">
        <f t="shared" si="310"/>
        <v>1.65475469603912</v>
      </c>
      <c r="BK338" s="31">
        <f t="shared" si="317"/>
        <v>83.6693510478977</v>
      </c>
      <c r="BL338" s="32">
        <f t="shared" si="311"/>
        <v>-10.8220769011587</v>
      </c>
      <c r="BM338" s="31">
        <f t="shared" si="312"/>
        <v>2.31547629942531</v>
      </c>
      <c r="BO338">
        <f t="shared" si="313"/>
        <v>0</v>
      </c>
      <c r="BP338">
        <f t="shared" si="314"/>
        <v>0</v>
      </c>
    </row>
    <row r="339" spans="14:68">
      <c r="N339" s="7">
        <v>21</v>
      </c>
      <c r="O339" s="18">
        <f t="shared" si="318"/>
        <v>16218.1009735893</v>
      </c>
      <c r="P339" s="86" t="str">
        <f t="shared" ref="P339:P402" si="319">COMPLEX(Adc,0)</f>
        <v>60</v>
      </c>
      <c r="Q339" s="4" t="str">
        <f t="shared" ref="Q339:Q402" si="320">IMSUM(COMPLEX(1,0),IMDIV(COMPLEX(0,2*PI()*O339),COMPLEX(wp_lf,0)))</f>
        <v>1+133,151076096878i</v>
      </c>
      <c r="R339" s="4">
        <f t="shared" si="277"/>
        <v>133.154831176929</v>
      </c>
      <c r="S339" s="4">
        <f t="shared" si="278"/>
        <v>1.56328620199092</v>
      </c>
      <c r="T339" s="4" t="str">
        <f t="shared" ref="T339:T402" si="321">IMSUM(COMPLEX(1,0),IMDIV(COMPLEX(0,2*PI()*O339),COMPLEX(wz_esr,0)))</f>
        <v>1+1,59781291316254i</v>
      </c>
      <c r="U339" s="4">
        <f t="shared" si="279"/>
        <v>1.88494193689593</v>
      </c>
      <c r="V339" s="4">
        <f t="shared" si="280"/>
        <v>1.0115820568175</v>
      </c>
      <c r="W339" t="str">
        <f t="shared" ref="W339:W402" si="322">IMSUB(COMPLEX(1,0),IMDIV(COMPLEX(0,2*PI()*O339),COMPLEX(wz_rhp,0)))</f>
        <v>1-2,22909167572899i</v>
      </c>
      <c r="X339" s="4">
        <f t="shared" si="281"/>
        <v>2.44312293976465</v>
      </c>
      <c r="Y339" s="4">
        <f t="shared" si="282"/>
        <v>-1.14909624423297</v>
      </c>
      <c r="Z339" t="str">
        <f t="shared" ref="Z339:Z402" si="323">IMSUM(COMPLEX(1,0),IMDIV(COMPLEX(0,2*PI()*O339),COMPLEX(Q*(wsl/2),0)),IMDIV(IMPOWER(COMPLEX(0,2*PI()*O339),2),IMPOWER(COMPLEX(wsl/2,0),2)))</f>
        <v>0,997852842455596+0,594771050037078i</v>
      </c>
      <c r="AA339" s="4">
        <f t="shared" si="283"/>
        <v>1.16166384860635</v>
      </c>
      <c r="AB339" s="4">
        <f t="shared" si="284"/>
        <v>0.537510664871606</v>
      </c>
      <c r="AC339" s="67" t="str">
        <f t="shared" si="285"/>
        <v>-1,10579111260139-1,40290202355699i</v>
      </c>
      <c r="AD339" s="68">
        <f t="shared" si="286"/>
        <v>5.03914292685897</v>
      </c>
      <c r="AE339" s="31">
        <f t="shared" si="287"/>
        <v>-128.245776647607</v>
      </c>
      <c r="AF339" s="32" t="str">
        <f t="shared" si="288"/>
        <v>326,048966736478</v>
      </c>
      <c r="AG339" s="32" t="str">
        <f t="shared" ref="AG339:AG402" si="324">IMSUM(COMPLEX(1,0),IMDIV(COMPLEX(0,2*PI()*O339),COMPLEX(wp_lf_DCM,0)))</f>
        <v>1+85,5971203479933i</v>
      </c>
      <c r="AH339" s="32">
        <f t="shared" si="289"/>
        <v>85.6029614666972</v>
      </c>
      <c r="AI339" s="32">
        <f t="shared" si="290"/>
        <v>1.55911422224513</v>
      </c>
      <c r="AJ339" s="32" t="str">
        <f t="shared" ref="AJ339:AJ402" si="325">IMSUM(COMPLEX(1,0),IMDIV(COMPLEX(0,2*PI()*O339),COMPLEX(wz1_dcm,0)))</f>
        <v>1+1,59781291316254i</v>
      </c>
      <c r="AK339" s="32">
        <f t="shared" si="291"/>
        <v>1.88494193689593</v>
      </c>
      <c r="AL339" s="32">
        <f t="shared" si="292"/>
        <v>1.0115820568175</v>
      </c>
      <c r="AM339" s="32" t="str">
        <f t="shared" ref="AM339:AM402" si="326">IMSUB(COMPLEX(1,0),IMDIV(COMPLEX(0,2*PI()*O339),COMPLEX(wz2_dcm,0)))</f>
        <v>1-0,263694753263539i</v>
      </c>
      <c r="AN339" s="32">
        <f t="shared" si="293"/>
        <v>1.03418321534374</v>
      </c>
      <c r="AO339" s="32">
        <f t="shared" si="294"/>
        <v>-0.257825736494341</v>
      </c>
      <c r="AP339" s="30" t="str">
        <f t="shared" si="295"/>
        <v>5,14435262598514-5,35392329952389i</v>
      </c>
      <c r="AQ339" s="32">
        <f t="shared" si="296"/>
        <v>17.413790011407</v>
      </c>
      <c r="AR339" s="31">
        <f t="shared" si="297"/>
        <v>-46.1436087776402</v>
      </c>
      <c r="AS339" t="str">
        <f t="shared" ref="AS339:AS402" si="327">COMPLEX(Adc_ea,0)</f>
        <v>-0,000100699300699301</v>
      </c>
      <c r="AT339" t="str">
        <f t="shared" ref="AT339:AT402" si="328">COMPLEX(0,2*PI()*O339*wp0_ea)</f>
        <v>0,0228972296930882i</v>
      </c>
      <c r="AU339">
        <f t="shared" si="298"/>
        <v>0.0228972296930882</v>
      </c>
      <c r="AV339">
        <f t="shared" si="299"/>
        <v>1.5707963267949</v>
      </c>
      <c r="AW339" t="str">
        <f t="shared" ref="AW339:AW402" si="329">IMSUM(COMPLEX(1,0),IMDIV(COMPLEX(0,2*PI()*O339),COMPLEX(wp1_ea,0)))</f>
        <v>1+1,17229616260603i</v>
      </c>
      <c r="AX339">
        <f t="shared" si="300"/>
        <v>1.54086933023564</v>
      </c>
      <c r="AY339">
        <f t="shared" si="301"/>
        <v>0.864547693558601</v>
      </c>
      <c r="AZ339" t="str">
        <f t="shared" ref="AZ339:AZ402" si="330">IMSUM(COMPLEX(1,0),IMDIV(COMPLEX(0,2*PI()*O339),COMPLEX(wz_ea,0)))</f>
        <v>1+56,045733561186i</v>
      </c>
      <c r="BA339">
        <f t="shared" si="302"/>
        <v>56.0546541369354</v>
      </c>
      <c r="BB339">
        <f t="shared" si="303"/>
        <v>1.55295564851996</v>
      </c>
      <c r="BC339" s="30" t="str">
        <f t="shared" si="304"/>
        <v>-0,101642200370445+0,12355264285837i</v>
      </c>
      <c r="BD339" s="32">
        <f t="shared" si="305"/>
        <v>-15.9182123968696</v>
      </c>
      <c r="BE339" s="31">
        <f t="shared" si="306"/>
        <v>129.442870402518</v>
      </c>
      <c r="BF339" s="30" t="str">
        <f t="shared" si="307"/>
        <v>0,285727294516709+0,00597063416728316i</v>
      </c>
      <c r="BG339" s="68">
        <f t="shared" si="308"/>
        <v>-10.8790694700106</v>
      </c>
      <c r="BH339" s="31">
        <f t="shared" si="309"/>
        <v>1.1970937549105</v>
      </c>
      <c r="BI339" s="30" t="str">
        <f t="shared" si="316"/>
        <v>0,138608052930575+1,17978290751406i</v>
      </c>
      <c r="BJ339" s="68">
        <f t="shared" si="310"/>
        <v>1.49557761453742</v>
      </c>
      <c r="BK339" s="31">
        <f t="shared" si="317"/>
        <v>83.2992616248775</v>
      </c>
      <c r="BL339" s="32">
        <f t="shared" si="311"/>
        <v>-10.8790694700106</v>
      </c>
      <c r="BM339" s="31">
        <f t="shared" si="312"/>
        <v>1.1970937549105</v>
      </c>
      <c r="BO339">
        <f t="shared" si="313"/>
        <v>0</v>
      </c>
      <c r="BP339">
        <f t="shared" si="314"/>
        <v>0</v>
      </c>
    </row>
    <row r="340" spans="14:68">
      <c r="N340" s="7">
        <v>22</v>
      </c>
      <c r="O340" s="18">
        <f t="shared" si="318"/>
        <v>16595.8690743756</v>
      </c>
      <c r="P340" s="86" t="str">
        <f t="shared" si="319"/>
        <v>60</v>
      </c>
      <c r="Q340" s="4" t="str">
        <f t="shared" si="320"/>
        <v>1+136,252563084577i</v>
      </c>
      <c r="R340" s="4">
        <f t="shared" ref="R340:R403" si="331">IMABS(Q340)</f>
        <v>136.2562326909</v>
      </c>
      <c r="S340" s="4">
        <f t="shared" ref="S340:S403" si="332">IMARGUMENT(Q340)</f>
        <v>1.56345714709231</v>
      </c>
      <c r="T340" s="4" t="str">
        <f t="shared" si="321"/>
        <v>1+1,63503075701493i</v>
      </c>
      <c r="U340" s="4">
        <f t="shared" ref="U340:U403" si="333">IMABS(T340)</f>
        <v>1.91659217789931</v>
      </c>
      <c r="V340" s="4">
        <f t="shared" ref="V340:V403" si="334">IMARGUMENT(T340)</f>
        <v>1.02188428592174</v>
      </c>
      <c r="W340" t="str">
        <f t="shared" si="322"/>
        <v>1-2,28101389092485i</v>
      </c>
      <c r="X340" s="4">
        <f t="shared" ref="X340:X403" si="335">IMABS(W340)</f>
        <v>2.49058715378365</v>
      </c>
      <c r="Y340" s="4">
        <f t="shared" ref="Y340:Y403" si="336">IMARGUMENT(W340)</f>
        <v>-1.1576294342796</v>
      </c>
      <c r="Z340" t="str">
        <f t="shared" si="323"/>
        <v>0,997751650038091+0,608625047514409i</v>
      </c>
      <c r="AA340" s="4">
        <f t="shared" ref="AA340:AA403" si="337">IMABS(Z340)</f>
        <v>1.16873127947174</v>
      </c>
      <c r="AB340" s="4">
        <f t="shared" ref="AB340:AB403" si="338">IMARGUMENT(Z340)</f>
        <v>0.54773748707152</v>
      </c>
      <c r="AC340" s="67" t="str">
        <f t="shared" ref="AC340:AC403" si="339">(IMDIV(IMPRODUCT(P340,T340,W340),IMPRODUCT(Q340,Z340)))</f>
        <v>-1,12548577525203-1,40281936604064i</v>
      </c>
      <c r="AD340" s="68">
        <f t="shared" ref="AD340:AD403" si="340">20*LOG(IMABS(AC340))</f>
        <v>5.09823321756932</v>
      </c>
      <c r="AE340" s="31">
        <f t="shared" ref="AE340:AE403" si="341">(180/PI())*IMARGUMENT(AC340)</f>
        <v>-128.740166358536</v>
      </c>
      <c r="AF340" s="32" t="str">
        <f t="shared" ref="AF340:AF403" si="342">COMPLEX($B$68,0)</f>
        <v>326,048966736478</v>
      </c>
      <c r="AG340" s="32" t="str">
        <f t="shared" si="324"/>
        <v>1+87,5909334115142i</v>
      </c>
      <c r="AH340" s="32">
        <f t="shared" ref="AH340:AH403" si="343">IMABS(AG340)</f>
        <v>87.5966415788888</v>
      </c>
      <c r="AI340" s="32">
        <f t="shared" ref="AI340:AI403" si="344">IMARGUMENT(AG340)</f>
        <v>1.5593801160367</v>
      </c>
      <c r="AJ340" s="32" t="str">
        <f t="shared" si="325"/>
        <v>1+1,63503075701493i</v>
      </c>
      <c r="AK340" s="32">
        <f t="shared" ref="AK340:AK403" si="345">IMABS(AJ340)</f>
        <v>1.91659217789931</v>
      </c>
      <c r="AL340" s="32">
        <f t="shared" ref="AL340:AL403" si="346">IMARGUMENT(AJ340)</f>
        <v>1.02188428592174</v>
      </c>
      <c r="AM340" s="32" t="str">
        <f t="shared" si="326"/>
        <v>1-0,269836993115783i</v>
      </c>
      <c r="AN340" s="32">
        <f t="shared" ref="AN340:AN403" si="347">IMABS(AM340)</f>
        <v>1.0357663843038</v>
      </c>
      <c r="AO340" s="32">
        <f t="shared" ref="AO340:AO403" si="348">IMARGUMENT(AM340)</f>
        <v>-0.263559897124204</v>
      </c>
      <c r="AP340" s="30" t="str">
        <f t="shared" ref="AP340:AP403" si="349">(IMDIV(IMPRODUCT(AF340,AJ340,AM340),IMPRODUCT(AG340)))</f>
        <v>5,142381632857-5,30599106577131i</v>
      </c>
      <c r="AQ340" s="32">
        <f t="shared" ref="AQ340:AQ403" si="350">20*LOG(IMABS(AP340))</f>
        <v>17.3717379143333</v>
      </c>
      <c r="AR340" s="31">
        <f t="shared" ref="AR340:AR403" si="351">(180/PI())*IMARGUMENT(AP340)</f>
        <v>-45.8971123255869</v>
      </c>
      <c r="AS340" t="str">
        <f t="shared" si="327"/>
        <v>-0,000100699300699301</v>
      </c>
      <c r="AT340" t="str">
        <f t="shared" si="328"/>
        <v>0,02343057468758i</v>
      </c>
      <c r="AU340">
        <f t="shared" ref="AU340:AU403" si="352">IMABS(AT340)</f>
        <v>0.02343057468758</v>
      </c>
      <c r="AV340">
        <f t="shared" ref="AV340:AV403" si="353">IMARGUMENT(AT340)</f>
        <v>1.5707963267949</v>
      </c>
      <c r="AW340" t="str">
        <f t="shared" si="329"/>
        <v>1+1,19960244807237i</v>
      </c>
      <c r="AX340">
        <f t="shared" ref="AX340:AX403" si="354">IMABS(AW340)</f>
        <v>1.56174454806835</v>
      </c>
      <c r="AY340">
        <f t="shared" ref="AY340:AY403" si="355">IMARGUMENT(AW340)</f>
        <v>0.875895087619666</v>
      </c>
      <c r="AZ340" t="str">
        <f t="shared" si="330"/>
        <v>1+57,3512064003961i</v>
      </c>
      <c r="BA340">
        <f t="shared" ref="BA340:BA403" si="356">IMABS(AZ340)</f>
        <v>57.3599239502707</v>
      </c>
      <c r="BB340">
        <f t="shared" ref="BB340:BB403" si="357">IMARGUMENT(AZ340)</f>
        <v>1.55336166868969</v>
      </c>
      <c r="BC340" s="30" t="str">
        <f t="shared" ref="BC340:BC403" si="358">IMPRODUCT(AS340,IMDIV(AZ340,IMPRODUCT(AT340,AW340)))</f>
        <v>-0,0989431386990469+0,122990204805915i</v>
      </c>
      <c r="BD340" s="32">
        <f t="shared" ref="BD340:BD403" si="359">20*LOG(IMABS(BC340))</f>
        <v>-16.035158356418</v>
      </c>
      <c r="BE340" s="31">
        <f t="shared" ref="BE340:BE403" si="360">(180/PI())*IMARGUMENT(BC340)</f>
        <v>128.815975856469</v>
      </c>
      <c r="BF340" s="30" t="str">
        <f t="shared" ref="BF340:BF403" si="361">IMPRODUCT(AC340,BC340)</f>
        <v>0,283892136299608+0,000375625099476917i</v>
      </c>
      <c r="BG340" s="68">
        <f t="shared" ref="BG340:BG403" si="362">20*LOG(IMABS(BF340))</f>
        <v>-10.9369251388487</v>
      </c>
      <c r="BH340" s="31">
        <f t="shared" ref="BH340:BH403" si="363">(180/PI())*IMARGUMENT(BF340)</f>
        <v>0.0758094979334357</v>
      </c>
      <c r="BI340" s="30" t="str">
        <f t="shared" si="316"/>
        <v>0,143781548734367+1,15745398017177i</v>
      </c>
      <c r="BJ340" s="68">
        <f t="shared" ref="BJ340:BJ403" si="364">20*LOG(IMABS(BI340))</f>
        <v>1.3365795579153</v>
      </c>
      <c r="BK340" s="31">
        <f t="shared" si="317"/>
        <v>82.9188635308825</v>
      </c>
      <c r="BL340" s="32">
        <f t="shared" ref="BL340:BL403" si="365">IF($B$31=0,BJ340,BG340)</f>
        <v>-10.9369251388487</v>
      </c>
      <c r="BM340" s="31">
        <f t="shared" ref="BM340:BM403" si="366">IF($B$31=0,BK340,BH340)</f>
        <v>0.0758094979334357</v>
      </c>
      <c r="BO340">
        <f t="shared" ref="BO340:BO403" si="367">SUM((BL341&lt;0)*(BL340&gt;0))*O340</f>
        <v>0</v>
      </c>
      <c r="BP340">
        <f t="shared" ref="BP340:BP403" si="368">IF(BO340&gt;0,BM340,0)</f>
        <v>0</v>
      </c>
    </row>
    <row r="341" spans="14:68">
      <c r="N341" s="7">
        <v>23</v>
      </c>
      <c r="O341" s="18">
        <f t="shared" si="318"/>
        <v>16982.4365246175</v>
      </c>
      <c r="P341" s="86" t="str">
        <f t="shared" si="319"/>
        <v>60</v>
      </c>
      <c r="Q341" s="4" t="str">
        <f t="shared" si="320"/>
        <v>1+139,42629298474i</v>
      </c>
      <c r="R341" s="4">
        <f t="shared" si="331"/>
        <v>139.429879062798</v>
      </c>
      <c r="S341" s="4">
        <f t="shared" si="332"/>
        <v>1.5636242014226</v>
      </c>
      <c r="T341" s="4" t="str">
        <f t="shared" si="321"/>
        <v>1+1,67311551581689i</v>
      </c>
      <c r="U341" s="4">
        <f t="shared" si="333"/>
        <v>1.94918329801669</v>
      </c>
      <c r="V341" s="4">
        <f t="shared" si="334"/>
        <v>1.03207903027335</v>
      </c>
      <c r="W341" t="str">
        <f t="shared" si="322"/>
        <v>1-2,33414552987847i</v>
      </c>
      <c r="X341" s="4">
        <f t="shared" si="335"/>
        <v>2.53933758186099</v>
      </c>
      <c r="Y341" s="4">
        <f t="shared" si="336"/>
        <v>-1.16603053395649</v>
      </c>
      <c r="Z341" t="str">
        <f t="shared" si="323"/>
        <v>0,997645688568876+0,62280174604804i</v>
      </c>
      <c r="AA341" s="4">
        <f t="shared" si="337"/>
        <v>1.17608627863799</v>
      </c>
      <c r="AB341" s="4">
        <f t="shared" si="338"/>
        <v>0.55807526102926</v>
      </c>
      <c r="AC341" s="67" t="str">
        <f t="shared" si="339"/>
        <v>-1,14559566743255-1,40267459449979i</v>
      </c>
      <c r="AD341" s="68">
        <f t="shared" si="340"/>
        <v>5.15858676413195</v>
      </c>
      <c r="AE341" s="31">
        <f t="shared" si="341"/>
        <v>-129.239280414142</v>
      </c>
      <c r="AF341" s="32" t="str">
        <f t="shared" si="342"/>
        <v>326,048966736478</v>
      </c>
      <c r="AG341" s="32" t="str">
        <f t="shared" si="324"/>
        <v>1+89,6311883473331i</v>
      </c>
      <c r="AH341" s="32">
        <f t="shared" si="343"/>
        <v>89.6367665891352</v>
      </c>
      <c r="AI341" s="32">
        <f t="shared" si="344"/>
        <v>1.55963995890653</v>
      </c>
      <c r="AJ341" s="32" t="str">
        <f t="shared" si="325"/>
        <v>1+1,67311551581689i</v>
      </c>
      <c r="AK341" s="32">
        <f t="shared" si="345"/>
        <v>1.94918329801669</v>
      </c>
      <c r="AL341" s="32">
        <f t="shared" si="346"/>
        <v>1.03207903027335</v>
      </c>
      <c r="AM341" s="32" t="str">
        <f t="shared" si="326"/>
        <v>1-0,276122304113493i</v>
      </c>
      <c r="AN341" s="32">
        <f t="shared" si="347"/>
        <v>1.03742157623068</v>
      </c>
      <c r="AO341" s="32">
        <f t="shared" si="348"/>
        <v>-0.269409308427325</v>
      </c>
      <c r="AP341" s="30" t="str">
        <f t="shared" si="349"/>
        <v>5,14049932643083-5,26087011289387i</v>
      </c>
      <c r="AQ341" s="32">
        <f t="shared" si="350"/>
        <v>17.3320920739662</v>
      </c>
      <c r="AR341" s="31">
        <f t="shared" si="351"/>
        <v>-45.6630309811074</v>
      </c>
      <c r="AS341" t="str">
        <f t="shared" si="327"/>
        <v>-0,000100699300699301</v>
      </c>
      <c r="AT341" t="str">
        <f t="shared" si="328"/>
        <v>0,0239763428829115i</v>
      </c>
      <c r="AU341">
        <f t="shared" si="352"/>
        <v>0.0239763428829115</v>
      </c>
      <c r="AV341">
        <f t="shared" si="353"/>
        <v>1.5707963267949</v>
      </c>
      <c r="AW341" t="str">
        <f t="shared" si="329"/>
        <v>1+1,2275447786353i</v>
      </c>
      <c r="AX341">
        <f t="shared" si="354"/>
        <v>1.5833086191753</v>
      </c>
      <c r="AY341">
        <f t="shared" si="355"/>
        <v>0.887195552109873</v>
      </c>
      <c r="AZ341" t="str">
        <f t="shared" si="330"/>
        <v>1+58,6870876083728i</v>
      </c>
      <c r="BA341">
        <f t="shared" si="356"/>
        <v>58.6956067517223</v>
      </c>
      <c r="BB341">
        <f t="shared" si="357"/>
        <v>1.55375845226714</v>
      </c>
      <c r="BC341" s="30" t="str">
        <f t="shared" si="358"/>
        <v>-0,096266355005815+0,122371205581869i</v>
      </c>
      <c r="BD341" s="32">
        <f t="shared" si="359"/>
        <v>-16.1543293145532</v>
      </c>
      <c r="BE341" s="31">
        <f t="shared" si="360"/>
        <v>128.191240959011</v>
      </c>
      <c r="BF341" s="30" t="str">
        <f t="shared" si="361"/>
        <v>0,281929300382184-0,00515755246133259i</v>
      </c>
      <c r="BG341" s="68">
        <f t="shared" si="362"/>
        <v>-10.9957425504212</v>
      </c>
      <c r="BH341" s="31">
        <f t="shared" si="363"/>
        <v>-1.04803945513075</v>
      </c>
      <c r="BI341" s="30" t="str">
        <f t="shared" si="316"/>
        <v>0,148921885059103+1,13549388979545i</v>
      </c>
      <c r="BJ341" s="68">
        <f t="shared" si="364"/>
        <v>1.17776275941298</v>
      </c>
      <c r="BK341" s="31">
        <f t="shared" si="317"/>
        <v>82.5282099779039</v>
      </c>
      <c r="BL341" s="32">
        <f t="shared" si="365"/>
        <v>-10.9957425504212</v>
      </c>
      <c r="BM341" s="31">
        <f t="shared" si="366"/>
        <v>-1.04803945513075</v>
      </c>
      <c r="BO341">
        <f t="shared" si="367"/>
        <v>0</v>
      </c>
      <c r="BP341">
        <f t="shared" si="368"/>
        <v>0</v>
      </c>
    </row>
    <row r="342" spans="14:68">
      <c r="N342" s="7">
        <v>24</v>
      </c>
      <c r="O342" s="18">
        <f t="shared" si="318"/>
        <v>17378.0082874938</v>
      </c>
      <c r="P342" s="86" t="str">
        <f t="shared" si="319"/>
        <v>60</v>
      </c>
      <c r="Q342" s="4" t="str">
        <f t="shared" si="320"/>
        <v>1+142,673948550967i</v>
      </c>
      <c r="R342" s="4">
        <f t="shared" si="331"/>
        <v>142.677453001951</v>
      </c>
      <c r="S342" s="4">
        <f t="shared" si="332"/>
        <v>1.56378745351891</v>
      </c>
      <c r="T342" s="4" t="str">
        <f t="shared" si="321"/>
        <v>1+1,71208738261161i</v>
      </c>
      <c r="U342" s="4">
        <f t="shared" si="333"/>
        <v>1.98273629252553</v>
      </c>
      <c r="V342" s="4">
        <f t="shared" si="334"/>
        <v>1.04216321824976</v>
      </c>
      <c r="W342" t="str">
        <f t="shared" si="322"/>
        <v>1-2,38851476368807i</v>
      </c>
      <c r="X342" s="4">
        <f t="shared" si="335"/>
        <v>2.58940201134468</v>
      </c>
      <c r="Y342" s="4">
        <f t="shared" si="336"/>
        <v>-1.17429925309309</v>
      </c>
      <c r="Z342" t="str">
        <f t="shared" si="323"/>
        <v>0,997534733289468+0,637308662311173i</v>
      </c>
      <c r="AA342" s="4">
        <f t="shared" si="337"/>
        <v>1.18373893877651</v>
      </c>
      <c r="AB342" s="4">
        <f t="shared" si="338"/>
        <v>0.568520849394856</v>
      </c>
      <c r="AC342" s="67" t="str">
        <f t="shared" si="339"/>
        <v>-1,16611308001178-1,40244191018522i</v>
      </c>
      <c r="AD342" s="68">
        <f t="shared" si="340"/>
        <v>5.220088113873</v>
      </c>
      <c r="AE342" s="31">
        <f t="shared" si="341"/>
        <v>-129.743103495779</v>
      </c>
      <c r="AF342" s="32" t="str">
        <f t="shared" si="342"/>
        <v>326,048966736478</v>
      </c>
      <c r="AG342" s="32" t="str">
        <f t="shared" si="324"/>
        <v>1+91,7189669256219i</v>
      </c>
      <c r="AH342" s="32">
        <f t="shared" si="343"/>
        <v>91.7244181987726</v>
      </c>
      <c r="AI342" s="32">
        <f t="shared" si="344"/>
        <v>1.55989388848633</v>
      </c>
      <c r="AJ342" s="32" t="str">
        <f t="shared" si="325"/>
        <v>1+1,71208738261161i</v>
      </c>
      <c r="AK342" s="32">
        <f t="shared" si="345"/>
        <v>1.98273629252553</v>
      </c>
      <c r="AL342" s="32">
        <f t="shared" si="346"/>
        <v>1.04216321824976</v>
      </c>
      <c r="AM342" s="32" t="str">
        <f t="shared" si="326"/>
        <v>1-0,282554018811751i</v>
      </c>
      <c r="AN342" s="32">
        <f t="shared" si="347"/>
        <v>1.03915194920987</v>
      </c>
      <c r="AO342" s="32">
        <f t="shared" si="348"/>
        <v>-0.275375470063742</v>
      </c>
      <c r="AP342" s="30" t="str">
        <f t="shared" si="349"/>
        <v>5,13870171713578-5,21853665234666i</v>
      </c>
      <c r="AQ342" s="32">
        <f t="shared" si="350"/>
        <v>17.2948375039025</v>
      </c>
      <c r="AR342" s="31">
        <f t="shared" si="351"/>
        <v>-45.4416345451183</v>
      </c>
      <c r="AS342" t="str">
        <f t="shared" si="327"/>
        <v>-0,000100699300699301</v>
      </c>
      <c r="AT342" t="str">
        <f t="shared" si="328"/>
        <v>0,0245348236526039i</v>
      </c>
      <c r="AU342">
        <f t="shared" si="352"/>
        <v>0.0245348236526039</v>
      </c>
      <c r="AV342">
        <f t="shared" si="353"/>
        <v>1.5707963267949</v>
      </c>
      <c r="AW342" t="str">
        <f t="shared" si="329"/>
        <v>1+1,25613796968833i</v>
      </c>
      <c r="AX342">
        <f t="shared" si="354"/>
        <v>1.60557858695634</v>
      </c>
      <c r="AY342">
        <f t="shared" si="355"/>
        <v>0.898443534825849</v>
      </c>
      <c r="AZ342" t="str">
        <f t="shared" si="330"/>
        <v>1+60,0540854870142i</v>
      </c>
      <c r="BA342">
        <f t="shared" si="356"/>
        <v>60.0624107381781</v>
      </c>
      <c r="BB342">
        <f t="shared" si="357"/>
        <v>1.55414620913217</v>
      </c>
      <c r="BC342" s="30" t="str">
        <f t="shared" si="358"/>
        <v>-0,0936143756437211+0,121696913490603i</v>
      </c>
      <c r="BD342" s="32">
        <f t="shared" si="359"/>
        <v>-16.2757058808935</v>
      </c>
      <c r="BE342" s="31">
        <f t="shared" si="360"/>
        <v>127.568995853194</v>
      </c>
      <c r="BF342" s="30" t="str">
        <f t="shared" si="361"/>
        <v>0,279837799734686-0,0106236388198773i</v>
      </c>
      <c r="BG342" s="68">
        <f t="shared" si="362"/>
        <v>-11.0556177670205</v>
      </c>
      <c r="BH342" s="31">
        <f t="shared" si="363"/>
        <v>-2.17410764258516</v>
      </c>
      <c r="BI342" s="30" t="str">
        <f t="shared" si="316"/>
        <v>0,154023450659189+1,11389418880759i</v>
      </c>
      <c r="BJ342" s="68">
        <f t="shared" si="364"/>
        <v>1.01913162300897</v>
      </c>
      <c r="BK342" s="31">
        <f t="shared" si="317"/>
        <v>82.1273613080752</v>
      </c>
      <c r="BL342" s="32">
        <f t="shared" si="365"/>
        <v>-11.0556177670205</v>
      </c>
      <c r="BM342" s="31">
        <f t="shared" si="366"/>
        <v>-2.17410764258516</v>
      </c>
      <c r="BO342">
        <f t="shared" si="367"/>
        <v>0</v>
      </c>
      <c r="BP342">
        <f t="shared" si="368"/>
        <v>0</v>
      </c>
    </row>
    <row r="343" spans="14:68">
      <c r="N343" s="7">
        <v>25</v>
      </c>
      <c r="O343" s="18">
        <f t="shared" si="318"/>
        <v>17782.7941003892</v>
      </c>
      <c r="P343" s="86" t="str">
        <f t="shared" si="319"/>
        <v>60</v>
      </c>
      <c r="Q343" s="4" t="str">
        <f t="shared" si="320"/>
        <v>1+145,997251733229i</v>
      </c>
      <c r="R343" s="4">
        <f t="shared" si="331"/>
        <v>146.000676415063</v>
      </c>
      <c r="S343" s="4">
        <f t="shared" si="332"/>
        <v>1.56394698990482</v>
      </c>
      <c r="T343" s="4" t="str">
        <f t="shared" si="321"/>
        <v>1+1,75196702079875i</v>
      </c>
      <c r="U343" s="4">
        <f t="shared" si="333"/>
        <v>2.01727252545769</v>
      </c>
      <c r="V343" s="4">
        <f t="shared" si="334"/>
        <v>1.05213399232357</v>
      </c>
      <c r="W343" t="str">
        <f t="shared" si="322"/>
        <v>1-2,44415041964111i</v>
      </c>
      <c r="X343" s="4">
        <f t="shared" si="335"/>
        <v>2.64080882947475</v>
      </c>
      <c r="Y343" s="4">
        <f t="shared" si="336"/>
        <v>-1.18243545205025</v>
      </c>
      <c r="Z343" t="str">
        <f t="shared" si="323"/>
        <v>0,997418548848842+0,652153488062842i</v>
      </c>
      <c r="AA343" s="4">
        <f t="shared" si="337"/>
        <v>1.19169959871616</v>
      </c>
      <c r="AB343" s="4">
        <f t="shared" si="338"/>
        <v>0.579070902471235</v>
      </c>
      <c r="AC343" s="67" t="str">
        <f t="shared" si="339"/>
        <v>-1,18702905768699-1,40209573829027i</v>
      </c>
      <c r="AD343" s="68">
        <f t="shared" si="340"/>
        <v>5.28262252849215</v>
      </c>
      <c r="AE343" s="31">
        <f t="shared" si="341"/>
        <v>-130.251604360902</v>
      </c>
      <c r="AF343" s="32" t="str">
        <f t="shared" si="342"/>
        <v>326,048966736478</v>
      </c>
      <c r="AG343" s="32" t="str">
        <f t="shared" si="324"/>
        <v>1+93,8553761142187i</v>
      </c>
      <c r="AH343" s="32">
        <f t="shared" si="343"/>
        <v>93.8607033083678</v>
      </c>
      <c r="AI343" s="32">
        <f t="shared" si="344"/>
        <v>1.56014203928185</v>
      </c>
      <c r="AJ343" s="32" t="str">
        <f t="shared" si="325"/>
        <v>1+1,75196702079875i</v>
      </c>
      <c r="AK343" s="32">
        <f t="shared" si="345"/>
        <v>2.01727252545769</v>
      </c>
      <c r="AL343" s="32">
        <f t="shared" si="346"/>
        <v>1.05213399232357</v>
      </c>
      <c r="AM343" s="32" t="str">
        <f t="shared" si="326"/>
        <v>1-0,289135547390827i</v>
      </c>
      <c r="AN343" s="32">
        <f t="shared" si="347"/>
        <v>1.04096078925433</v>
      </c>
      <c r="AO343" s="32">
        <f t="shared" si="348"/>
        <v>-0.281459845769652</v>
      </c>
      <c r="AP343" s="30" t="str">
        <f t="shared" si="349"/>
        <v>5,13698499478649-5,17896836453093i</v>
      </c>
      <c r="AQ343" s="32">
        <f t="shared" si="350"/>
        <v>17.2599593730361</v>
      </c>
      <c r="AR343" s="31">
        <f t="shared" si="351"/>
        <v>-45.2331783143969</v>
      </c>
      <c r="AS343" t="str">
        <f t="shared" si="327"/>
        <v>-0,000100699300699301</v>
      </c>
      <c r="AT343" t="str">
        <f t="shared" si="328"/>
        <v>0,0251063131105535i</v>
      </c>
      <c r="AU343">
        <f t="shared" si="352"/>
        <v>0.0251063131105535</v>
      </c>
      <c r="AV343">
        <f t="shared" si="353"/>
        <v>1.5707963267949</v>
      </c>
      <c r="AW343" t="str">
        <f t="shared" si="329"/>
        <v>1+1,28539718171983i</v>
      </c>
      <c r="AX343">
        <f t="shared" si="354"/>
        <v>1.62857174075117</v>
      </c>
      <c r="AY343">
        <f t="shared" si="355"/>
        <v>0.909633615761022</v>
      </c>
      <c r="AZ343" t="str">
        <f t="shared" si="330"/>
        <v>1+61,4529248366907i</v>
      </c>
      <c r="BA343">
        <f t="shared" si="356"/>
        <v>61.4610606073793</v>
      </c>
      <c r="BB343">
        <f t="shared" si="357"/>
        <v>1.55452514441194</v>
      </c>
      <c r="BC343" s="30" t="str">
        <f t="shared" si="358"/>
        <v>-0,0909896283123449+0,120968727310226i</v>
      </c>
      <c r="BD343" s="32">
        <f t="shared" si="359"/>
        <v>-16.3992666059742</v>
      </c>
      <c r="BE343" s="31">
        <f t="shared" si="360"/>
        <v>126.949562835438</v>
      </c>
      <c r="BF343" s="30" t="str">
        <f t="shared" si="361"/>
        <v>0,277617069782958-0,0160172243032976i</v>
      </c>
      <c r="BG343" s="68">
        <f t="shared" si="362"/>
        <v>-11.116644077482</v>
      </c>
      <c r="BH343" s="31">
        <f t="shared" si="363"/>
        <v>-3.30204152546368</v>
      </c>
      <c r="BI343" s="30" t="str">
        <f t="shared" si="316"/>
        <v>0,159080856515513+1,09264694356111i</v>
      </c>
      <c r="BJ343" s="68">
        <f t="shared" si="364"/>
        <v>0.860692767061915</v>
      </c>
      <c r="BK343" s="31">
        <f t="shared" si="317"/>
        <v>81.716384521041</v>
      </c>
      <c r="BL343" s="32">
        <f t="shared" si="365"/>
        <v>-11.116644077482</v>
      </c>
      <c r="BM343" s="31">
        <f t="shared" si="366"/>
        <v>-3.30204152546368</v>
      </c>
      <c r="BO343">
        <f t="shared" si="367"/>
        <v>0</v>
      </c>
      <c r="BP343">
        <f t="shared" si="368"/>
        <v>0</v>
      </c>
    </row>
    <row r="344" spans="14:68">
      <c r="N344" s="7">
        <v>26</v>
      </c>
      <c r="O344" s="18">
        <f t="shared" si="318"/>
        <v>18197.0085860998</v>
      </c>
      <c r="P344" s="86" t="str">
        <f t="shared" si="319"/>
        <v>60</v>
      </c>
      <c r="Q344" s="4" t="str">
        <f t="shared" si="320"/>
        <v>1+149,397964590863i</v>
      </c>
      <c r="R344" s="4">
        <f t="shared" si="331"/>
        <v>149.401311319187</v>
      </c>
      <c r="S344" s="4">
        <f t="shared" si="332"/>
        <v>1.56410289513614</v>
      </c>
      <c r="T344" s="4" t="str">
        <f t="shared" si="321"/>
        <v>1+1,79277557509035i</v>
      </c>
      <c r="U344" s="4">
        <f t="shared" si="333"/>
        <v>2.05281374280292</v>
      </c>
      <c r="V344" s="4">
        <f t="shared" si="334"/>
        <v>1.06198870845611</v>
      </c>
      <c r="W344" t="str">
        <f t="shared" si="322"/>
        <v>1-2,50108199649882i</v>
      </c>
      <c r="X344" s="4">
        <f t="shared" si="335"/>
        <v>2.69358704207058</v>
      </c>
      <c r="Y344" s="4">
        <f t="shared" si="336"/>
        <v>-1.19043913491647</v>
      </c>
      <c r="Z344" t="str">
        <f t="shared" si="323"/>
        <v>0,997296888804224+0,667344094226158i</v>
      </c>
      <c r="AA344" s="4">
        <f t="shared" si="337"/>
        <v>1.1999788433623</v>
      </c>
      <c r="AB344" s="4">
        <f t="shared" si="338"/>
        <v>0.589721859798415</v>
      </c>
      <c r="AC344" s="67" t="str">
        <f t="shared" si="339"/>
        <v>-1,20833338527024-1,401610811339i</v>
      </c>
      <c r="AD344" s="68">
        <f t="shared" si="340"/>
        <v>5.34607624992358</v>
      </c>
      <c r="AE344" s="31">
        <f t="shared" si="341"/>
        <v>-130.764735581383</v>
      </c>
      <c r="AF344" s="32" t="str">
        <f t="shared" si="342"/>
        <v>326,048966736478</v>
      </c>
      <c r="AG344" s="32" t="str">
        <f t="shared" si="324"/>
        <v>1+96,0415486655546i</v>
      </c>
      <c r="AH344" s="32">
        <f t="shared" si="343"/>
        <v>96.0467546046096</v>
      </c>
      <c r="AI344" s="32">
        <f t="shared" si="344"/>
        <v>1.56038454274361</v>
      </c>
      <c r="AJ344" s="32" t="str">
        <f t="shared" si="325"/>
        <v>1+1,79277557509035i</v>
      </c>
      <c r="AK344" s="32">
        <f t="shared" si="345"/>
        <v>2.05281374280292</v>
      </c>
      <c r="AL344" s="32">
        <f t="shared" si="346"/>
        <v>1.06198870845611</v>
      </c>
      <c r="AM344" s="32" t="str">
        <f t="shared" si="326"/>
        <v>1-0,295870379464294i</v>
      </c>
      <c r="AN344" s="32">
        <f t="shared" si="347"/>
        <v>1.04285151457163</v>
      </c>
      <c r="AO344" s="32">
        <f t="shared" si="348"/>
        <v>-0.28766385892957</v>
      </c>
      <c r="AP344" s="30" t="str">
        <f t="shared" si="349"/>
        <v>5,13534552052461-5,14214438756153i</v>
      </c>
      <c r="AQ344" s="32">
        <f t="shared" si="350"/>
        <v>17.2274431239268</v>
      </c>
      <c r="AR344" s="31">
        <f t="shared" si="351"/>
        <v>-45.0379028666868</v>
      </c>
      <c r="AS344" t="str">
        <f t="shared" si="327"/>
        <v>-0,000100699300699301</v>
      </c>
      <c r="AT344" t="str">
        <f t="shared" si="328"/>
        <v>0,0256911142680358i</v>
      </c>
      <c r="AU344">
        <f t="shared" si="352"/>
        <v>0.0256911142680358</v>
      </c>
      <c r="AV344">
        <f t="shared" si="353"/>
        <v>1.5707963267949</v>
      </c>
      <c r="AW344" t="str">
        <f t="shared" si="329"/>
        <v>1+1,31533792835134i</v>
      </c>
      <c r="AX344">
        <f t="shared" si="354"/>
        <v>1.65230562117291</v>
      </c>
      <c r="AY344">
        <f t="shared" si="355"/>
        <v>0.920760519035682</v>
      </c>
      <c r="AZ344" t="str">
        <f t="shared" si="330"/>
        <v>1+62,8843473405416i</v>
      </c>
      <c r="BA344">
        <f t="shared" si="356"/>
        <v>62.8922979421637</v>
      </c>
      <c r="BB344">
        <f t="shared" si="357"/>
        <v>1.5548954585874</v>
      </c>
      <c r="BC344" s="30" t="str">
        <f t="shared" si="358"/>
        <v>-0,088394434021532+0,120188167651915i</v>
      </c>
      <c r="BD344" s="32">
        <f t="shared" si="359"/>
        <v>-16.5249880666488</v>
      </c>
      <c r="BE344" s="31">
        <f t="shared" si="360"/>
        <v>126.333255678097</v>
      </c>
      <c r="BF344" s="30" t="str">
        <f t="shared" si="361"/>
        <v>0,275266980876233-0,0213327811014944i</v>
      </c>
      <c r="BG344" s="68">
        <f t="shared" si="362"/>
        <v>-11.1789118167252</v>
      </c>
      <c r="BH344" s="31">
        <f t="shared" si="363"/>
        <v>-4.43147990328607</v>
      </c>
      <c r="BI344" s="30" t="str">
        <f t="shared" si="316"/>
        <v>0,164088950950816+1,07174471116682i</v>
      </c>
      <c r="BJ344" s="68">
        <f t="shared" si="364"/>
        <v>0.702455057277977</v>
      </c>
      <c r="BK344" s="31">
        <f t="shared" si="317"/>
        <v>81.2953528114103</v>
      </c>
      <c r="BL344" s="32">
        <f t="shared" si="365"/>
        <v>-11.1789118167252</v>
      </c>
      <c r="BM344" s="31">
        <f t="shared" si="366"/>
        <v>-4.43147990328607</v>
      </c>
      <c r="BO344">
        <f t="shared" si="367"/>
        <v>0</v>
      </c>
      <c r="BP344">
        <f t="shared" si="368"/>
        <v>0</v>
      </c>
    </row>
    <row r="345" spans="14:68">
      <c r="N345" s="7">
        <v>27</v>
      </c>
      <c r="O345" s="18">
        <f t="shared" si="318"/>
        <v>18620.8713666287</v>
      </c>
      <c r="P345" s="86" t="str">
        <f t="shared" si="319"/>
        <v>60</v>
      </c>
      <c r="Q345" s="4" t="str">
        <f t="shared" si="320"/>
        <v>1+152,877890226839i</v>
      </c>
      <c r="R345" s="4">
        <f t="shared" si="331"/>
        <v>152.881160775975</v>
      </c>
      <c r="S345" s="4">
        <f t="shared" si="332"/>
        <v>1.56425525184555</v>
      </c>
      <c r="T345" s="4" t="str">
        <f t="shared" si="321"/>
        <v>1+1,83453468272207i</v>
      </c>
      <c r="U345" s="4">
        <f t="shared" si="333"/>
        <v>2.08938208619442</v>
      </c>
      <c r="V345" s="4">
        <f t="shared" si="334"/>
        <v>1.07172493470889</v>
      </c>
      <c r="W345" t="str">
        <f t="shared" si="322"/>
        <v>1-2,55933968013682i</v>
      </c>
      <c r="X345" s="4">
        <f t="shared" si="335"/>
        <v>2.7477662925225</v>
      </c>
      <c r="Y345" s="4">
        <f t="shared" si="336"/>
        <v>-1.19831044264893</v>
      </c>
      <c r="Z345" t="str">
        <f t="shared" si="323"/>
        <v>0,997169495098347+0,68288853506158i</v>
      </c>
      <c r="AA345" s="4">
        <f t="shared" si="337"/>
        <v>1.20858750335805</v>
      </c>
      <c r="AB345" s="4">
        <f t="shared" si="338"/>
        <v>0.600469952661879</v>
      </c>
      <c r="AC345" s="67" t="str">
        <f t="shared" si="339"/>
        <v>-1,230014580806-1,40096225560128i</v>
      </c>
      <c r="AD345" s="68">
        <f t="shared" si="340"/>
        <v>5.41033675968237</v>
      </c>
      <c r="AE345" s="31">
        <f t="shared" si="341"/>
        <v>-131.282433376354</v>
      </c>
      <c r="AF345" s="32" t="str">
        <f t="shared" si="342"/>
        <v>326,048966736478</v>
      </c>
      <c r="AG345" s="32" t="str">
        <f t="shared" si="324"/>
        <v>1+98,2786437172538i</v>
      </c>
      <c r="AH345" s="32">
        <f t="shared" si="343"/>
        <v>98.2837311608738</v>
      </c>
      <c r="AI345" s="32">
        <f t="shared" si="344"/>
        <v>1.56062152733602</v>
      </c>
      <c r="AJ345" s="32" t="str">
        <f t="shared" si="325"/>
        <v>1+1,83453468272207i</v>
      </c>
      <c r="AK345" s="32">
        <f t="shared" si="345"/>
        <v>2.08938208619442</v>
      </c>
      <c r="AL345" s="32">
        <f t="shared" si="346"/>
        <v>1.07172493470889</v>
      </c>
      <c r="AM345" s="32" t="str">
        <f t="shared" si="326"/>
        <v>1-0,302762085929262i</v>
      </c>
      <c r="AN345" s="32">
        <f t="shared" si="347"/>
        <v>1.0448276798957</v>
      </c>
      <c r="AO345" s="32">
        <f t="shared" si="348"/>
        <v>-0.293988887935033</v>
      </c>
      <c r="AP345" s="30" t="str">
        <f t="shared" si="349"/>
        <v>5,13377981912195-5,10804530676717i</v>
      </c>
      <c r="AQ345" s="32">
        <f t="shared" si="350"/>
        <v>17.1972745868506</v>
      </c>
      <c r="AR345" s="31">
        <f t="shared" si="351"/>
        <v>-44.8560338782831</v>
      </c>
      <c r="AS345" t="str">
        <f t="shared" si="327"/>
        <v>-0,000100699300699301</v>
      </c>
      <c r="AT345" t="str">
        <f t="shared" si="328"/>
        <v>0,0262895371943653i</v>
      </c>
      <c r="AU345">
        <f t="shared" si="352"/>
        <v>0.0262895371943653</v>
      </c>
      <c r="AV345">
        <f t="shared" si="353"/>
        <v>1.5707963267949</v>
      </c>
      <c r="AW345" t="str">
        <f t="shared" si="329"/>
        <v>1+1,34597608456302i</v>
      </c>
      <c r="AX345">
        <f t="shared" si="354"/>
        <v>1.67679802606504</v>
      </c>
      <c r="AY345">
        <f t="shared" si="355"/>
        <v>0.931819123978519</v>
      </c>
      <c r="AZ345" t="str">
        <f t="shared" si="330"/>
        <v>1+64,3491119577256i</v>
      </c>
      <c r="BA345">
        <f t="shared" si="356"/>
        <v>64.356881603663</v>
      </c>
      <c r="BB345">
        <f t="shared" si="357"/>
        <v>1.55525734759754</v>
      </c>
      <c r="BC345" s="30" t="str">
        <f t="shared" si="358"/>
        <v>-0,0858309999158615+0,11935686777781i</v>
      </c>
      <c r="BD345" s="32">
        <f t="shared" si="359"/>
        <v>-16.6528449577855</v>
      </c>
      <c r="BE345" s="31">
        <f t="shared" si="360"/>
        <v>125.720379000503</v>
      </c>
      <c r="BF345" s="30" t="str">
        <f t="shared" si="361"/>
        <v>0,272787848085173-0,0265646964434015i</v>
      </c>
      <c r="BG345" s="68">
        <f t="shared" si="362"/>
        <v>-11.2425081981031</v>
      </c>
      <c r="BH345" s="31">
        <f t="shared" si="363"/>
        <v>-5.56205437585048</v>
      </c>
      <c r="BI345" s="30" t="str">
        <f t="shared" si="316"/>
        <v>0,169042833059764+1,05118051536668i</v>
      </c>
      <c r="BJ345" s="68">
        <f t="shared" si="364"/>
        <v>0.544429629065117</v>
      </c>
      <c r="BK345" s="31">
        <f t="shared" si="317"/>
        <v>80.8643451222201</v>
      </c>
      <c r="BL345" s="32">
        <f t="shared" si="365"/>
        <v>-11.2425081981031</v>
      </c>
      <c r="BM345" s="31">
        <f t="shared" si="366"/>
        <v>-5.56205437585048</v>
      </c>
      <c r="BO345">
        <f t="shared" si="367"/>
        <v>0</v>
      </c>
      <c r="BP345">
        <f t="shared" si="368"/>
        <v>0</v>
      </c>
    </row>
    <row r="346" spans="14:68">
      <c r="N346" s="7">
        <v>28</v>
      </c>
      <c r="O346" s="18">
        <f t="shared" si="318"/>
        <v>19054.6071796325</v>
      </c>
      <c r="P346" s="86" t="str">
        <f t="shared" si="319"/>
        <v>60</v>
      </c>
      <c r="Q346" s="4" t="str">
        <f t="shared" si="320"/>
        <v>1+156,438873743791i</v>
      </c>
      <c r="R346" s="4">
        <f t="shared" si="331"/>
        <v>156.442069847678</v>
      </c>
      <c r="S346" s="4">
        <f t="shared" si="332"/>
        <v>1.56440414078628</v>
      </c>
      <c r="T346" s="4" t="str">
        <f t="shared" si="321"/>
        <v>1+1,87726648492549i</v>
      </c>
      <c r="U346" s="4">
        <f t="shared" si="333"/>
        <v>2.12700010705794</v>
      </c>
      <c r="V346" s="4">
        <f t="shared" si="334"/>
        <v>1.08134044912247</v>
      </c>
      <c r="W346" t="str">
        <f t="shared" si="322"/>
        <v>1-2,61895435955007i</v>
      </c>
      <c r="X346" s="4">
        <f t="shared" si="335"/>
        <v>2.80337688108579</v>
      </c>
      <c r="Y346" s="4">
        <f t="shared" si="336"/>
        <v>-1.20604964619563</v>
      </c>
      <c r="Z346" t="str">
        <f t="shared" si="323"/>
        <v>0,997036097512081+0,698795052437384i</v>
      </c>
      <c r="AA346" s="4">
        <f t="shared" si="337"/>
        <v>1.21753665450084</v>
      </c>
      <c r="AB346" s="4">
        <f t="shared" si="338"/>
        <v>0.61131120755325</v>
      </c>
      <c r="AC346" s="67" t="str">
        <f t="shared" si="339"/>
        <v>-1,25205989596514-1,40012567993315i</v>
      </c>
      <c r="AD346" s="68">
        <f t="shared" si="340"/>
        <v>5.47529303076743</v>
      </c>
      <c r="AE346" s="31">
        <f t="shared" si="341"/>
        <v>-131.804617540448</v>
      </c>
      <c r="AF346" s="32" t="str">
        <f t="shared" si="342"/>
        <v>326,048966736478</v>
      </c>
      <c r="AG346" s="32" t="str">
        <f t="shared" si="324"/>
        <v>1+100,567847406723i</v>
      </c>
      <c r="AH346" s="32">
        <f t="shared" si="343"/>
        <v>100.572819051779</v>
      </c>
      <c r="AI346" s="32">
        <f t="shared" si="344"/>
        <v>1.56085311860488</v>
      </c>
      <c r="AJ346" s="32" t="str">
        <f t="shared" si="325"/>
        <v>1+1,87726648492549i</v>
      </c>
      <c r="AK346" s="32">
        <f t="shared" si="345"/>
        <v>2.12700010705794</v>
      </c>
      <c r="AL346" s="32">
        <f t="shared" si="346"/>
        <v>1.08134044912247</v>
      </c>
      <c r="AM346" s="32" t="str">
        <f t="shared" si="326"/>
        <v>1-0,309814320859717i</v>
      </c>
      <c r="AN346" s="32">
        <f t="shared" si="347"/>
        <v>1.04689298087711</v>
      </c>
      <c r="AO346" s="32">
        <f t="shared" si="348"/>
        <v>-0.300436261329903</v>
      </c>
      <c r="AP346" s="30" t="str">
        <f t="shared" si="349"/>
        <v>5,13228457162859-5,07665314492056i</v>
      </c>
      <c r="AQ346" s="32">
        <f t="shared" si="350"/>
        <v>17.1694400889374</v>
      </c>
      <c r="AR346" s="31">
        <f t="shared" si="351"/>
        <v>-44.687781971287</v>
      </c>
      <c r="AS346" t="str">
        <f t="shared" si="327"/>
        <v>-0,000100699300699301</v>
      </c>
      <c r="AT346" t="str">
        <f t="shared" si="328"/>
        <v>0,0269018991812982i</v>
      </c>
      <c r="AU346">
        <f t="shared" si="352"/>
        <v>0.0269018991812982</v>
      </c>
      <c r="AV346">
        <f t="shared" si="353"/>
        <v>1.5707963267949</v>
      </c>
      <c r="AW346" t="str">
        <f t="shared" si="329"/>
        <v>1+1,37732789511083i</v>
      </c>
      <c r="AX346">
        <f t="shared" si="354"/>
        <v>1.70206701708553</v>
      </c>
      <c r="AY346">
        <f t="shared" si="355"/>
        <v>0.942804475312562</v>
      </c>
      <c r="AZ346" t="str">
        <f t="shared" si="330"/>
        <v>1+65,8479953258302i</v>
      </c>
      <c r="BA346">
        <f t="shared" si="356"/>
        <v>65.8555881336623</v>
      </c>
      <c r="BB346">
        <f t="shared" si="357"/>
        <v>1.55561100294132</v>
      </c>
      <c r="BC346" s="30" t="str">
        <f t="shared" si="358"/>
        <v>-0,0833014129960566+0,118476563973139i</v>
      </c>
      <c r="BD346" s="32">
        <f t="shared" si="359"/>
        <v>-16.7828101895293</v>
      </c>
      <c r="BE346" s="31">
        <f t="shared" si="360"/>
        <v>125.111227691195</v>
      </c>
      <c r="BF346" s="30" t="str">
        <f t="shared" si="361"/>
        <v>0,270180438178626-0,0317073068520198i</v>
      </c>
      <c r="BG346" s="68">
        <f t="shared" si="362"/>
        <v>-11.3075171587619</v>
      </c>
      <c r="BH346" s="31">
        <f t="shared" si="363"/>
        <v>-6.69338984925325</v>
      </c>
      <c r="BI346" s="30" t="str">
        <f t="shared" si="316"/>
        <v>0,173937864379095+1,03094782164167i</v>
      </c>
      <c r="BJ346" s="68">
        <f t="shared" si="364"/>
        <v>0.386629899408079</v>
      </c>
      <c r="BK346" s="31">
        <f t="shared" si="317"/>
        <v>80.4234457199082</v>
      </c>
      <c r="BL346" s="32">
        <f t="shared" si="365"/>
        <v>-11.3075171587619</v>
      </c>
      <c r="BM346" s="31">
        <f t="shared" si="366"/>
        <v>-6.69338984925325</v>
      </c>
      <c r="BO346">
        <f t="shared" si="367"/>
        <v>0</v>
      </c>
      <c r="BP346">
        <f t="shared" si="368"/>
        <v>0</v>
      </c>
    </row>
    <row r="347" spans="14:68">
      <c r="N347" s="7">
        <v>29</v>
      </c>
      <c r="O347" s="18">
        <f t="shared" si="318"/>
        <v>19498.4459975805</v>
      </c>
      <c r="P347" s="86" t="str">
        <f t="shared" si="319"/>
        <v>60</v>
      </c>
      <c r="Q347" s="4" t="str">
        <f t="shared" si="320"/>
        <v>1+160,082803222314i</v>
      </c>
      <c r="R347" s="4">
        <f t="shared" si="331"/>
        <v>160.08592657543</v>
      </c>
      <c r="S347" s="4">
        <f t="shared" si="332"/>
        <v>1.5645496408748</v>
      </c>
      <c r="T347" s="4" t="str">
        <f t="shared" si="321"/>
        <v>1+1,92099363866777i</v>
      </c>
      <c r="U347" s="4">
        <f t="shared" si="333"/>
        <v>2.16569078120632</v>
      </c>
      <c r="V347" s="4">
        <f t="shared" si="334"/>
        <v>1.09083323691423</v>
      </c>
      <c r="W347" t="str">
        <f t="shared" si="322"/>
        <v>1-2,6799576432307i</v>
      </c>
      <c r="X347" s="4">
        <f t="shared" si="335"/>
        <v>2.86044978447632</v>
      </c>
      <c r="Y347" s="4">
        <f t="shared" si="336"/>
        <v>-1.21365713963193</v>
      </c>
      <c r="Z347" t="str">
        <f t="shared" si="323"/>
        <v>0,996896413091261+0,715072080199633i</v>
      </c>
      <c r="AA347" s="4">
        <f t="shared" si="337"/>
        <v>1.22683761693031</v>
      </c>
      <c r="AB347" s="4">
        <f t="shared" si="338"/>
        <v>0.622241450604772</v>
      </c>
      <c r="AC347" s="67" t="str">
        <f t="shared" si="339"/>
        <v>-1,27445532410325-1,39907726637609i</v>
      </c>
      <c r="AD347" s="68">
        <f t="shared" si="340"/>
        <v>5.54083577122039</v>
      </c>
      <c r="AE347" s="31">
        <f t="shared" si="341"/>
        <v>-132.331191467636</v>
      </c>
      <c r="AF347" s="32" t="str">
        <f t="shared" si="342"/>
        <v>326,048966736478</v>
      </c>
      <c r="AG347" s="32" t="str">
        <f t="shared" si="324"/>
        <v>1+102,910373500059i</v>
      </c>
      <c r="AH347" s="32">
        <f t="shared" si="343"/>
        <v>102.915231982062</v>
      </c>
      <c r="AI347" s="32">
        <f t="shared" si="344"/>
        <v>1.56107943924355</v>
      </c>
      <c r="AJ347" s="32" t="str">
        <f t="shared" si="325"/>
        <v>1+1,92099363866777i</v>
      </c>
      <c r="AK347" s="32">
        <f t="shared" si="345"/>
        <v>2.16569078120632</v>
      </c>
      <c r="AL347" s="32">
        <f t="shared" si="346"/>
        <v>1.09083323691423</v>
      </c>
      <c r="AM347" s="32" t="str">
        <f t="shared" si="326"/>
        <v>1-0,317030823443968i</v>
      </c>
      <c r="AN347" s="32">
        <f t="shared" si="347"/>
        <v>1.04905125852532</v>
      </c>
      <c r="AO347" s="32">
        <f t="shared" si="348"/>
        <v>-0.307007252743561</v>
      </c>
      <c r="AP347" s="30" t="str">
        <f t="shared" si="349"/>
        <v>5,13085660835101-5,04795135319576i</v>
      </c>
      <c r="AQ347" s="32">
        <f t="shared" si="350"/>
        <v>17.1439265578493</v>
      </c>
      <c r="AR347" s="31">
        <f t="shared" si="351"/>
        <v>-44.5333425876373</v>
      </c>
      <c r="AS347" t="str">
        <f t="shared" si="327"/>
        <v>-0,000100699300699301</v>
      </c>
      <c r="AT347" t="str">
        <f t="shared" si="328"/>
        <v>0,0275285249112658i</v>
      </c>
      <c r="AU347">
        <f t="shared" si="352"/>
        <v>0.0275285249112658</v>
      </c>
      <c r="AV347">
        <f t="shared" si="353"/>
        <v>1.5707963267949</v>
      </c>
      <c r="AW347" t="str">
        <f t="shared" si="329"/>
        <v>1+1,4094099831397i</v>
      </c>
      <c r="AX347">
        <f t="shared" si="354"/>
        <v>1.72813092691898</v>
      </c>
      <c r="AY347">
        <f t="shared" si="355"/>
        <v>0.953711792407477</v>
      </c>
      <c r="AZ347" t="str">
        <f t="shared" si="330"/>
        <v>1+67,3817921726575i</v>
      </c>
      <c r="BA347">
        <f t="shared" si="356"/>
        <v>67.3892121663342</v>
      </c>
      <c r="BB347">
        <f t="shared" si="357"/>
        <v>1.55595661177743</v>
      </c>
      <c r="BC347" s="30" t="str">
        <f t="shared" si="358"/>
        <v>-0,0808076347619595+0,117549085569917i</v>
      </c>
      <c r="BD347" s="32">
        <f t="shared" si="359"/>
        <v>-16.9148549893775</v>
      </c>
      <c r="BE347" s="31">
        <f t="shared" si="360"/>
        <v>124.506086383517</v>
      </c>
      <c r="BF347" s="30" t="str">
        <f t="shared" si="361"/>
        <v>0,267445973654739-0,0367549332029694i</v>
      </c>
      <c r="BG347" s="68">
        <f t="shared" si="362"/>
        <v>-11.3740192181571</v>
      </c>
      <c r="BH347" s="31">
        <f t="shared" si="363"/>
        <v>-7.82510508411888</v>
      </c>
      <c r="BI347" s="30" t="str">
        <f t="shared" si="316"/>
        <v>0,178769678745972+1,01104051174721i</v>
      </c>
      <c r="BJ347" s="68">
        <f t="shared" si="364"/>
        <v>0.229071568471814</v>
      </c>
      <c r="BK347" s="31">
        <f t="shared" si="317"/>
        <v>79.9727437958798</v>
      </c>
      <c r="BL347" s="32">
        <f t="shared" si="365"/>
        <v>-11.3740192181571</v>
      </c>
      <c r="BM347" s="31">
        <f t="shared" si="366"/>
        <v>-7.82510508411888</v>
      </c>
      <c r="BO347">
        <f t="shared" si="367"/>
        <v>0</v>
      </c>
      <c r="BP347">
        <f t="shared" si="368"/>
        <v>0</v>
      </c>
    </row>
    <row r="348" spans="14:68">
      <c r="N348" s="7">
        <v>30</v>
      </c>
      <c r="O348" s="18">
        <f t="shared" si="318"/>
        <v>19952.6231496888</v>
      </c>
      <c r="P348" s="86" t="str">
        <f t="shared" si="319"/>
        <v>60</v>
      </c>
      <c r="Q348" s="4" t="str">
        <f t="shared" si="320"/>
        <v>1+163,811610722053i</v>
      </c>
      <c r="R348" s="4">
        <f t="shared" si="331"/>
        <v>163.814662980313</v>
      </c>
      <c r="S348" s="4">
        <f t="shared" si="332"/>
        <v>1.56469182923254</v>
      </c>
      <c r="T348" s="4" t="str">
        <f t="shared" si="321"/>
        <v>1+1,96573932866464i</v>
      </c>
      <c r="U348" s="4">
        <f t="shared" si="333"/>
        <v>2.20547752386165</v>
      </c>
      <c r="V348" s="4">
        <f t="shared" si="334"/>
        <v>1.10020148704884</v>
      </c>
      <c r="W348" t="str">
        <f t="shared" si="322"/>
        <v>1-2,74238187592723i</v>
      </c>
      <c r="X348" s="4">
        <f t="shared" si="335"/>
        <v>2.91901667576843</v>
      </c>
      <c r="Y348" s="4">
        <f t="shared" si="336"/>
        <v>-1.22113343334192</v>
      </c>
      <c r="Z348" t="str">
        <f t="shared" si="323"/>
        <v>0,996750145546502+0,731728248643907i</v>
      </c>
      <c r="AA348" s="4">
        <f t="shared" si="337"/>
        <v>1.23650195410701</v>
      </c>
      <c r="AB348" s="4">
        <f t="shared" si="338"/>
        <v>0.633256313011742</v>
      </c>
      <c r="AC348" s="67" t="str">
        <f t="shared" si="339"/>
        <v>-1,29718561630548-1,39779386179022i</v>
      </c>
      <c r="AD348" s="68">
        <f t="shared" si="340"/>
        <v>5.60685765847535</v>
      </c>
      <c r="AE348" s="31">
        <f t="shared" si="341"/>
        <v>-132.862042270113</v>
      </c>
      <c r="AF348" s="32" t="str">
        <f t="shared" si="342"/>
        <v>326,048966736478</v>
      </c>
      <c r="AG348" s="32" t="str">
        <f t="shared" si="324"/>
        <v>1+105,307464035605i</v>
      </c>
      <c r="AH348" s="32">
        <f t="shared" si="343"/>
        <v>105.3122119301</v>
      </c>
      <c r="AI348" s="32">
        <f t="shared" si="344"/>
        <v>1.56130060915741</v>
      </c>
      <c r="AJ348" s="32" t="str">
        <f t="shared" si="325"/>
        <v>1+1,96573932866464i</v>
      </c>
      <c r="AK348" s="32">
        <f t="shared" si="345"/>
        <v>2.20547752386165</v>
      </c>
      <c r="AL348" s="32">
        <f t="shared" si="346"/>
        <v>1.10020148704884</v>
      </c>
      <c r="AM348" s="32" t="str">
        <f t="shared" si="326"/>
        <v>1-0,32441541996721i</v>
      </c>
      <c r="AN348" s="32">
        <f t="shared" si="347"/>
        <v>1.05130650369552</v>
      </c>
      <c r="AO348" s="32">
        <f t="shared" si="348"/>
        <v>-0.313703075614645</v>
      </c>
      <c r="AP348" s="30" t="str">
        <f t="shared" si="349"/>
        <v>5,12949290214499-5,02192480285016i</v>
      </c>
      <c r="AQ348" s="32">
        <f t="shared" si="350"/>
        <v>17.1207216194983</v>
      </c>
      <c r="AR348" s="31">
        <f t="shared" si="351"/>
        <v>-44.392895887001</v>
      </c>
      <c r="AS348" t="str">
        <f t="shared" si="327"/>
        <v>-0,000100699300699301</v>
      </c>
      <c r="AT348" t="str">
        <f t="shared" si="328"/>
        <v>0,0281697466295244i</v>
      </c>
      <c r="AU348">
        <f t="shared" si="352"/>
        <v>0.0281697466295244</v>
      </c>
      <c r="AV348">
        <f t="shared" si="353"/>
        <v>1.5707963267949</v>
      </c>
      <c r="AW348" t="str">
        <f t="shared" si="329"/>
        <v>1+1,44223935899739i</v>
      </c>
      <c r="AX348">
        <f t="shared" si="354"/>
        <v>1.7550083671143</v>
      </c>
      <c r="AY348">
        <f t="shared" si="355"/>
        <v>0.964536477569643</v>
      </c>
      <c r="AZ348" t="str">
        <f t="shared" si="330"/>
        <v>1+68,9513157375987i</v>
      </c>
      <c r="BA348">
        <f t="shared" si="356"/>
        <v>68.9585668495657</v>
      </c>
      <c r="BB348">
        <f t="shared" si="357"/>
        <v>1.55629435702181</v>
      </c>
      <c r="BC348" s="30" t="str">
        <f t="shared" si="358"/>
        <v>-0,0783514967901753+0,116576344719819i</v>
      </c>
      <c r="BD348" s="32">
        <f t="shared" si="359"/>
        <v>-17.0489490082974</v>
      </c>
      <c r="BE348" s="31">
        <f t="shared" si="360"/>
        <v>123.90522898622</v>
      </c>
      <c r="BF348" s="30" t="str">
        <f t="shared" si="361"/>
        <v>0,264586133731524-0,0417019162966353i</v>
      </c>
      <c r="BG348" s="68">
        <f t="shared" si="362"/>
        <v>-11.442091349822</v>
      </c>
      <c r="BH348" s="31">
        <f t="shared" si="363"/>
        <v>-8.95681328389329</v>
      </c>
      <c r="BI348" s="30" t="str">
        <f t="shared" si="316"/>
        <v>0,183534190316429+0,991452857869335i</v>
      </c>
      <c r="BJ348" s="68">
        <f t="shared" si="364"/>
        <v>0.0717726112009706</v>
      </c>
      <c r="BK348" s="31">
        <f t="shared" si="317"/>
        <v>79.5123330992191</v>
      </c>
      <c r="BL348" s="32">
        <f t="shared" si="365"/>
        <v>-11.442091349822</v>
      </c>
      <c r="BM348" s="31">
        <f t="shared" si="366"/>
        <v>-8.95681328389329</v>
      </c>
      <c r="BO348">
        <f t="shared" si="367"/>
        <v>0</v>
      </c>
      <c r="BP348">
        <f t="shared" si="368"/>
        <v>0</v>
      </c>
    </row>
    <row r="349" spans="14:68">
      <c r="N349" s="7">
        <v>31</v>
      </c>
      <c r="O349" s="18">
        <f t="shared" si="318"/>
        <v>20417.3794466953</v>
      </c>
      <c r="P349" s="86" t="str">
        <f t="shared" si="319"/>
        <v>60</v>
      </c>
      <c r="Q349" s="4" t="str">
        <f t="shared" si="320"/>
        <v>1+167,627273306099i</v>
      </c>
      <c r="R349" s="4">
        <f t="shared" si="331"/>
        <v>167.630256087729</v>
      </c>
      <c r="S349" s="4">
        <f t="shared" si="332"/>
        <v>1.56483078122662</v>
      </c>
      <c r="T349" s="4" t="str">
        <f t="shared" si="321"/>
        <v>1+2,01152727967319i</v>
      </c>
      <c r="U349" s="4">
        <f t="shared" si="333"/>
        <v>2.24638420508813</v>
      </c>
      <c r="V349" s="4">
        <f t="shared" si="334"/>
        <v>1.10944358823619</v>
      </c>
      <c r="W349" t="str">
        <f t="shared" si="322"/>
        <v>1-2,80626015579407i</v>
      </c>
      <c r="X349" s="4">
        <f t="shared" si="335"/>
        <v>2.9791099445971</v>
      </c>
      <c r="Y349" s="4">
        <f t="shared" si="336"/>
        <v>-1.2284791472722</v>
      </c>
      <c r="Z349" t="str">
        <f t="shared" si="323"/>
        <v>0,996596984624732+0,748772389091177i</v>
      </c>
      <c r="AA349" s="4">
        <f t="shared" si="337"/>
        <v>1.2465414716039</v>
      </c>
      <c r="AB349" s="4">
        <f t="shared" si="338"/>
        <v>0.644351237449161</v>
      </c>
      <c r="AC349" s="67" t="str">
        <f t="shared" si="339"/>
        <v>-1,32023430566458-1,39625306974487i</v>
      </c>
      <c r="AD349" s="68">
        <f t="shared" si="340"/>
        <v>5.67325356367128</v>
      </c>
      <c r="AE349" s="31">
        <f t="shared" si="341"/>
        <v>-133.397040991058</v>
      </c>
      <c r="AF349" s="32" t="str">
        <f t="shared" si="342"/>
        <v>326,048966736478</v>
      </c>
      <c r="AG349" s="32" t="str">
        <f t="shared" si="324"/>
        <v>1+107,760389982492i</v>
      </c>
      <c r="AH349" s="32">
        <f t="shared" si="343"/>
        <v>107.765029806421</v>
      </c>
      <c r="AI349" s="32">
        <f t="shared" si="344"/>
        <v>1.5615167455271</v>
      </c>
      <c r="AJ349" s="32" t="str">
        <f t="shared" si="325"/>
        <v>1+2,01152727967319i</v>
      </c>
      <c r="AK349" s="32">
        <f t="shared" si="345"/>
        <v>2.24638420508813</v>
      </c>
      <c r="AL349" s="32">
        <f t="shared" si="346"/>
        <v>1.10944358823619</v>
      </c>
      <c r="AM349" s="32" t="str">
        <f t="shared" si="326"/>
        <v>1-0,331972025840263i</v>
      </c>
      <c r="AN349" s="32">
        <f t="shared" si="347"/>
        <v>1.05366286161205</v>
      </c>
      <c r="AO349" s="32">
        <f t="shared" si="348"/>
        <v>-0.320524877709542</v>
      </c>
      <c r="AP349" s="30" t="str">
        <f t="shared" si="349"/>
        <v>5,1281905620095-4,99855977762913i</v>
      </c>
      <c r="AQ349" s="32">
        <f t="shared" si="350"/>
        <v>17.099813689346</v>
      </c>
      <c r="AR349" s="31">
        <f t="shared" si="351"/>
        <v>-44.2666066656262</v>
      </c>
      <c r="AS349" t="str">
        <f t="shared" si="327"/>
        <v>-0,000100699300699301</v>
      </c>
      <c r="AT349" t="str">
        <f t="shared" si="328"/>
        <v>0,0288259043203168i</v>
      </c>
      <c r="AU349">
        <f t="shared" si="352"/>
        <v>0.0288259043203168</v>
      </c>
      <c r="AV349">
        <f t="shared" si="353"/>
        <v>1.5707963267949</v>
      </c>
      <c r="AW349" t="str">
        <f t="shared" si="329"/>
        <v>1+1,47583342925352i</v>
      </c>
      <c r="AX349">
        <f t="shared" si="354"/>
        <v>1.78271823654278</v>
      </c>
      <c r="AY349">
        <f t="shared" si="355"/>
        <v>0.975274123350563</v>
      </c>
      <c r="AZ349" t="str">
        <f t="shared" si="330"/>
        <v>1+70,5573982028222i</v>
      </c>
      <c r="BA349">
        <f t="shared" si="356"/>
        <v>70.5644842760975</v>
      </c>
      <c r="BB349">
        <f t="shared" si="357"/>
        <v>1.55662441744306</v>
      </c>
      <c r="BC349" s="30" t="str">
        <f t="shared" si="358"/>
        <v>-0,0759346972483705+0,11556032601256i</v>
      </c>
      <c r="BD349" s="32">
        <f t="shared" si="359"/>
        <v>-17.1850604301114</v>
      </c>
      <c r="BE349" s="31">
        <f t="shared" si="360"/>
        <v>123.308918270189</v>
      </c>
      <c r="BF349" s="30" t="str">
        <f t="shared" si="361"/>
        <v>0,261603052233307-0,04654265264238i</v>
      </c>
      <c r="BG349" s="68">
        <f t="shared" si="362"/>
        <v>-11.5118068664401</v>
      </c>
      <c r="BH349" s="31">
        <f t="shared" si="363"/>
        <v>-10.0881227208682</v>
      </c>
      <c r="BI349" s="30" t="str">
        <f t="shared" si="316"/>
        <v>0,188227599737949+0,972179496592501i</v>
      </c>
      <c r="BJ349" s="68">
        <f t="shared" si="364"/>
        <v>-0.0852467407654428</v>
      </c>
      <c r="BK349" s="31">
        <f t="shared" si="317"/>
        <v>79.0423116045632</v>
      </c>
      <c r="BL349" s="32">
        <f t="shared" si="365"/>
        <v>-11.5118068664401</v>
      </c>
      <c r="BM349" s="31">
        <f t="shared" si="366"/>
        <v>-10.0881227208682</v>
      </c>
      <c r="BO349">
        <f t="shared" si="367"/>
        <v>0</v>
      </c>
      <c r="BP349">
        <f t="shared" si="368"/>
        <v>0</v>
      </c>
    </row>
    <row r="350" spans="14:68">
      <c r="N350" s="7">
        <v>32</v>
      </c>
      <c r="O350" s="18">
        <f t="shared" si="318"/>
        <v>20892.9613085404</v>
      </c>
      <c r="P350" s="86" t="str">
        <f t="shared" si="319"/>
        <v>60</v>
      </c>
      <c r="Q350" s="4" t="str">
        <f t="shared" si="320"/>
        <v>1+171,531814089263i</v>
      </c>
      <c r="R350" s="4">
        <f t="shared" si="331"/>
        <v>171.534728975661</v>
      </c>
      <c r="S350" s="4">
        <f t="shared" si="332"/>
        <v>1.56496657050976</v>
      </c>
      <c r="T350" s="4" t="str">
        <f t="shared" si="321"/>
        <v>1+2,05838176907116i</v>
      </c>
      <c r="U350" s="4">
        <f t="shared" si="333"/>
        <v>2.28843516561962</v>
      </c>
      <c r="V350" s="4">
        <f t="shared" si="334"/>
        <v>1.11855812441222</v>
      </c>
      <c r="W350" t="str">
        <f t="shared" si="322"/>
        <v>1-2,87162635194079i</v>
      </c>
      <c r="X350" s="4">
        <f t="shared" si="335"/>
        <v>3.04076271766818</v>
      </c>
      <c r="Y350" s="4">
        <f t="shared" si="336"/>
        <v>-1.23569500428269</v>
      </c>
      <c r="Z350" t="str">
        <f t="shared" si="323"/>
        <v>0,996436605451101+0,766213538570324i</v>
      </c>
      <c r="AA350" s="4">
        <f t="shared" si="337"/>
        <v>1.25696821573633</v>
      </c>
      <c r="AB350" s="4">
        <f t="shared" si="338"/>
        <v>0.655521485480553</v>
      </c>
      <c r="AC350" s="67" t="str">
        <f t="shared" si="339"/>
        <v>-1,34358373995584-1,39443334184622i</v>
      </c>
      <c r="AD350" s="68">
        <f t="shared" si="340"/>
        <v>5.73992076513935</v>
      </c>
      <c r="AE350" s="31">
        <f t="shared" si="341"/>
        <v>-133.936042909363</v>
      </c>
      <c r="AF350" s="32" t="str">
        <f t="shared" si="342"/>
        <v>326,048966736478</v>
      </c>
      <c r="AG350" s="32" t="str">
        <f t="shared" si="324"/>
        <v>1+110,270451914526i</v>
      </c>
      <c r="AH350" s="32">
        <f t="shared" si="343"/>
        <v>110.274986127561</v>
      </c>
      <c r="AI350" s="32">
        <f t="shared" si="344"/>
        <v>1.56172796287014</v>
      </c>
      <c r="AJ350" s="32" t="str">
        <f t="shared" si="325"/>
        <v>1+2,05838176907116i</v>
      </c>
      <c r="AK350" s="32">
        <f t="shared" si="345"/>
        <v>2.28843516561962</v>
      </c>
      <c r="AL350" s="32">
        <f t="shared" si="346"/>
        <v>1.11855812441222</v>
      </c>
      <c r="AM350" s="32" t="str">
        <f t="shared" si="326"/>
        <v>1-0,339704647675588i</v>
      </c>
      <c r="AN350" s="32">
        <f t="shared" si="347"/>
        <v>1.05612463641958</v>
      </c>
      <c r="AO350" s="32">
        <f t="shared" si="348"/>
        <v>-0.327473735441552</v>
      </c>
      <c r="AP350" s="30" t="str">
        <f t="shared" si="349"/>
        <v>5,12694682696832-4,97784396689122i</v>
      </c>
      <c r="AQ350" s="32">
        <f t="shared" si="350"/>
        <v>17.0811920568746</v>
      </c>
      <c r="AR350" s="31">
        <f t="shared" si="351"/>
        <v>-44.1546242933179</v>
      </c>
      <c r="AS350" t="str">
        <f t="shared" si="327"/>
        <v>-0,000100699300699301</v>
      </c>
      <c r="AT350" t="str">
        <f t="shared" si="328"/>
        <v>0,0294973458871357i</v>
      </c>
      <c r="AU350">
        <f t="shared" si="352"/>
        <v>0.0294973458871357</v>
      </c>
      <c r="AV350">
        <f t="shared" si="353"/>
        <v>1.5707963267949</v>
      </c>
      <c r="AW350" t="str">
        <f t="shared" si="329"/>
        <v>1+1,51021000592881i</v>
      </c>
      <c r="AX350">
        <f t="shared" si="354"/>
        <v>1.8112797304689</v>
      </c>
      <c r="AY350">
        <f t="shared" si="355"/>
        <v>0.985920518863396</v>
      </c>
      <c r="AZ350" t="str">
        <f t="shared" si="330"/>
        <v>1+72,2008911345111i</v>
      </c>
      <c r="BA350">
        <f t="shared" si="356"/>
        <v>72.207815924715</v>
      </c>
      <c r="BB350">
        <f t="shared" si="357"/>
        <v>1.55694696775576</v>
      </c>
      <c r="BC350" s="30" t="str">
        <f t="shared" si="358"/>
        <v>-0,073558798337567+0,114503076033605i</v>
      </c>
      <c r="BD350" s="32">
        <f t="shared" si="359"/>
        <v>-17.3231560833757</v>
      </c>
      <c r="BE350" s="31">
        <f t="shared" si="360"/>
        <v>122.717405511875</v>
      </c>
      <c r="BF350" s="30" t="str">
        <f t="shared" si="361"/>
        <v>0,258499312342257-0,0512716301456332i</v>
      </c>
      <c r="BG350" s="68">
        <f t="shared" si="362"/>
        <v>-11.5832353182364</v>
      </c>
      <c r="BH350" s="31">
        <f t="shared" si="363"/>
        <v>-11.2186373974872</v>
      </c>
      <c r="BI350" s="30" t="str">
        <f t="shared" si="316"/>
        <v>0,192846398491976+0,953215402865029i</v>
      </c>
      <c r="BJ350" s="68">
        <f t="shared" si="364"/>
        <v>-0.24196402650114</v>
      </c>
      <c r="BK350" s="31">
        <f t="shared" si="317"/>
        <v>78.5627812185575</v>
      </c>
      <c r="BL350" s="32">
        <f t="shared" si="365"/>
        <v>-11.5832353182364</v>
      </c>
      <c r="BM350" s="31">
        <f t="shared" si="366"/>
        <v>-11.2186373974872</v>
      </c>
      <c r="BO350">
        <f t="shared" si="367"/>
        <v>0</v>
      </c>
      <c r="BP350">
        <f t="shared" si="368"/>
        <v>0</v>
      </c>
    </row>
    <row r="351" spans="14:68">
      <c r="N351" s="7">
        <v>33</v>
      </c>
      <c r="O351" s="18">
        <f t="shared" si="318"/>
        <v>21379.6208950223</v>
      </c>
      <c r="P351" s="86" t="str">
        <f t="shared" si="319"/>
        <v>60</v>
      </c>
      <c r="Q351" s="4" t="str">
        <f t="shared" si="320"/>
        <v>1+175,527303310747i</v>
      </c>
      <c r="R351" s="4">
        <f t="shared" si="331"/>
        <v>175.530151847319</v>
      </c>
      <c r="S351" s="4">
        <f t="shared" si="332"/>
        <v>1.56509926905919</v>
      </c>
      <c r="T351" s="4" t="str">
        <f t="shared" si="321"/>
        <v>1+2,10632763972897i</v>
      </c>
      <c r="U351" s="4">
        <f t="shared" si="333"/>
        <v>2.33165523306646</v>
      </c>
      <c r="V351" s="4">
        <f t="shared" si="334"/>
        <v>1.12754386975793</v>
      </c>
      <c r="W351" t="str">
        <f t="shared" si="322"/>
        <v>1-2,93851512238974i</v>
      </c>
      <c r="X351" s="4">
        <f t="shared" si="335"/>
        <v>3.10400887958027</v>
      </c>
      <c r="Y351" s="4">
        <f t="shared" si="336"/>
        <v>-1.24278182361636</v>
      </c>
      <c r="Z351" t="str">
        <f t="shared" si="323"/>
        <v>0,996268667839879+0,78406094460965i</v>
      </c>
      <c r="AA351" s="4">
        <f t="shared" si="337"/>
        <v>1.26779447205832</v>
      </c>
      <c r="AB351" s="4">
        <f t="shared" si="338"/>
        <v>0.666762145947907</v>
      </c>
      <c r="AC351" s="67" t="str">
        <f t="shared" si="339"/>
        <v>-1,36721512278113-1,39231406764868i</v>
      </c>
      <c r="AD351" s="68">
        <f t="shared" si="340"/>
        <v>5.80675915032049</v>
      </c>
      <c r="AE351" s="31">
        <f t="shared" si="341"/>
        <v>-134.478887933814</v>
      </c>
      <c r="AF351" s="32" t="str">
        <f t="shared" si="342"/>
        <v>326,048966736478</v>
      </c>
      <c r="AG351" s="32" t="str">
        <f t="shared" si="324"/>
        <v>1+112,838980699766i</v>
      </c>
      <c r="AH351" s="32">
        <f t="shared" si="343"/>
        <v>112.843411705612</v>
      </c>
      <c r="AI351" s="32">
        <f t="shared" si="344"/>
        <v>1.56193437310135</v>
      </c>
      <c r="AJ351" s="32" t="str">
        <f t="shared" si="325"/>
        <v>1+2,10632763972897i</v>
      </c>
      <c r="AK351" s="32">
        <f t="shared" si="345"/>
        <v>2.33165523306646</v>
      </c>
      <c r="AL351" s="32">
        <f t="shared" si="346"/>
        <v>1.12754386975793</v>
      </c>
      <c r="AM351" s="32" t="str">
        <f t="shared" si="326"/>
        <v>1-0,347617385411631i</v>
      </c>
      <c r="AN351" s="32">
        <f t="shared" si="347"/>
        <v>1.05869629575267</v>
      </c>
      <c r="AO351" s="32">
        <f t="shared" si="348"/>
        <v>-0.334550647998361</v>
      </c>
      <c r="AP351" s="30" t="str">
        <f t="shared" si="349"/>
        <v>5,12575906022579-4,95976645945187i</v>
      </c>
      <c r="AQ351" s="32">
        <f t="shared" si="350"/>
        <v>17.0648469628607</v>
      </c>
      <c r="AR351" s="31">
        <f t="shared" si="351"/>
        <v>-44.0570826658144</v>
      </c>
      <c r="AS351" t="str">
        <f t="shared" si="327"/>
        <v>-0,000100699300699301</v>
      </c>
      <c r="AT351" t="str">
        <f t="shared" si="328"/>
        <v>0,0301844273371874i</v>
      </c>
      <c r="AU351">
        <f t="shared" si="352"/>
        <v>0.0301844273371874</v>
      </c>
      <c r="AV351">
        <f t="shared" si="353"/>
        <v>1.5707963267949</v>
      </c>
      <c r="AW351" t="str">
        <f t="shared" si="329"/>
        <v>1+1,54538731593922i</v>
      </c>
      <c r="AX351">
        <f t="shared" si="354"/>
        <v>1.84071235022364</v>
      </c>
      <c r="AY351">
        <f t="shared" si="355"/>
        <v>0.99647165510605</v>
      </c>
      <c r="AZ351" t="str">
        <f t="shared" si="330"/>
        <v>1+73,8826659343706i</v>
      </c>
      <c r="BA351">
        <f t="shared" si="356"/>
        <v>73.8894331117096</v>
      </c>
      <c r="BB351">
        <f t="shared" si="357"/>
        <v>1.55726217871176</v>
      </c>
      <c r="BC351" s="30" t="str">
        <f t="shared" si="358"/>
        <v>-0,0712252246438198+0,113406692951152i</v>
      </c>
      <c r="BD351" s="32">
        <f t="shared" si="359"/>
        <v>-17.4632015549936</v>
      </c>
      <c r="BE351" s="31">
        <f t="shared" si="360"/>
        <v>122.130930193539</v>
      </c>
      <c r="BF351" s="30" t="str">
        <f t="shared" si="361"/>
        <v>0,255277938217917-0,0558834633843834i</v>
      </c>
      <c r="BG351" s="68">
        <f t="shared" si="362"/>
        <v>-11.6564424046731</v>
      </c>
      <c r="BH351" s="31">
        <f t="shared" si="363"/>
        <v>-12.3479577402754</v>
      </c>
      <c r="BI351" s="30" t="str">
        <f t="shared" si="316"/>
        <v>0,197387371441804+0,934555864139954i</v>
      </c>
      <c r="BJ351" s="68">
        <f t="shared" si="364"/>
        <v>-0.398354592132924</v>
      </c>
      <c r="BK351" s="31">
        <f t="shared" si="317"/>
        <v>78.0738475277241</v>
      </c>
      <c r="BL351" s="32">
        <f t="shared" si="365"/>
        <v>-11.6564424046731</v>
      </c>
      <c r="BM351" s="31">
        <f t="shared" si="366"/>
        <v>-12.3479577402754</v>
      </c>
      <c r="BO351">
        <f t="shared" si="367"/>
        <v>0</v>
      </c>
      <c r="BP351">
        <f t="shared" si="368"/>
        <v>0</v>
      </c>
    </row>
    <row r="352" spans="14:68">
      <c r="N352" s="7">
        <v>34</v>
      </c>
      <c r="O352" s="18">
        <f t="shared" si="318"/>
        <v>21877.6162394955</v>
      </c>
      <c r="P352" s="86" t="str">
        <f t="shared" si="319"/>
        <v>60</v>
      </c>
      <c r="Q352" s="4" t="str">
        <f t="shared" si="320"/>
        <v>1+179,615859431826i</v>
      </c>
      <c r="R352" s="4">
        <f t="shared" si="331"/>
        <v>179.618643128806</v>
      </c>
      <c r="S352" s="4">
        <f t="shared" si="332"/>
        <v>1.56522894721474</v>
      </c>
      <c r="T352" s="4" t="str">
        <f t="shared" si="321"/>
        <v>1+2,15539031318192i</v>
      </c>
      <c r="U352" s="4">
        <f t="shared" si="333"/>
        <v>2.376069738488</v>
      </c>
      <c r="V352" s="4">
        <f t="shared" si="334"/>
        <v>1.13639978331145</v>
      </c>
      <c r="W352" t="str">
        <f t="shared" si="322"/>
        <v>1-3,00696193245245i</v>
      </c>
      <c r="X352" s="4">
        <f t="shared" si="335"/>
        <v>3.16888309396515</v>
      </c>
      <c r="Y352" s="4">
        <f t="shared" si="336"/>
        <v>-1.2497405145072</v>
      </c>
      <c r="Z352" t="str">
        <f t="shared" si="323"/>
        <v>0,996092815572876+0,802324070140084i</v>
      </c>
      <c r="AA352" s="4">
        <f t="shared" si="337"/>
        <v>1.27903276375629</v>
      </c>
      <c r="AB352" s="4">
        <f t="shared" si="338"/>
        <v>0.678068144322841</v>
      </c>
      <c r="AC352" s="67" t="str">
        <f t="shared" si="339"/>
        <v>-1,39110856315823-1,38987566227435i</v>
      </c>
      <c r="AD352" s="68">
        <f t="shared" si="340"/>
        <v>5.87367140541934</v>
      </c>
      <c r="AE352" s="31">
        <f t="shared" si="341"/>
        <v>-135.025401083519</v>
      </c>
      <c r="AF352" s="32" t="str">
        <f t="shared" si="342"/>
        <v>326,048966736478</v>
      </c>
      <c r="AG352" s="32" t="str">
        <f t="shared" si="324"/>
        <v>1+115,467338206174i</v>
      </c>
      <c r="AH352" s="32">
        <f t="shared" si="343"/>
        <v>115.471668353839</v>
      </c>
      <c r="AI352" s="32">
        <f t="shared" si="344"/>
        <v>1.56213608559176</v>
      </c>
      <c r="AJ352" s="32" t="str">
        <f t="shared" si="325"/>
        <v>1+2,15539031318192i</v>
      </c>
      <c r="AK352" s="32">
        <f t="shared" si="345"/>
        <v>2.376069738488</v>
      </c>
      <c r="AL352" s="32">
        <f t="shared" si="346"/>
        <v>1.13639978331145</v>
      </c>
      <c r="AM352" s="32" t="str">
        <f t="shared" si="326"/>
        <v>1-0,35571443448668i</v>
      </c>
      <c r="AN352" s="32">
        <f t="shared" si="347"/>
        <v>1.0613824753133</v>
      </c>
      <c r="AO352" s="32">
        <f t="shared" si="348"/>
        <v>-0.341756531287595</v>
      </c>
      <c r="AP352" s="30" t="str">
        <f t="shared" si="349"/>
        <v>5,12462474358529-4,94431773814454i</v>
      </c>
      <c r="AQ352" s="32">
        <f t="shared" si="350"/>
        <v>17.0507696691249</v>
      </c>
      <c r="AR352" s="31">
        <f t="shared" si="351"/>
        <v>-43.974100169978</v>
      </c>
      <c r="AS352" t="str">
        <f t="shared" si="327"/>
        <v>-0,000100699300699301</v>
      </c>
      <c r="AT352" t="str">
        <f t="shared" si="328"/>
        <v>0,0308875129701515i</v>
      </c>
      <c r="AU352">
        <f t="shared" si="352"/>
        <v>0.0308875129701515</v>
      </c>
      <c r="AV352">
        <f t="shared" si="353"/>
        <v>1.5707963267949</v>
      </c>
      <c r="AW352" t="str">
        <f t="shared" si="329"/>
        <v>1+1,58138401076017i</v>
      </c>
      <c r="AX352">
        <f t="shared" si="354"/>
        <v>1.87103591346824</v>
      </c>
      <c r="AY352">
        <f t="shared" si="355"/>
        <v>1.00692372929771</v>
      </c>
      <c r="AZ352" t="str">
        <f t="shared" si="330"/>
        <v>1+75,6036143016615i</v>
      </c>
      <c r="BA352">
        <f t="shared" si="356"/>
        <v>75.6102274528677</v>
      </c>
      <c r="BB352">
        <f t="shared" si="357"/>
        <v>1.55757021718936</v>
      </c>
      <c r="BC352" s="30" t="str">
        <f t="shared" si="358"/>
        <v>-0,0689352623715332+0,112273316217649i</v>
      </c>
      <c r="BD352" s="32">
        <f t="shared" si="359"/>
        <v>-17.6051613048162</v>
      </c>
      <c r="BE352" s="31">
        <f t="shared" si="360"/>
        <v>121.549719759893</v>
      </c>
      <c r="BF352" s="30" t="str">
        <f t="shared" si="361"/>
        <v>0,251942383522342-0,0603729281618525i</v>
      </c>
      <c r="BG352" s="68">
        <f t="shared" si="362"/>
        <v>-11.7314898993969</v>
      </c>
      <c r="BH352" s="31">
        <f t="shared" si="363"/>
        <v>-13.475681323626</v>
      </c>
      <c r="BI352" s="30" t="str">
        <f t="shared" si="316"/>
        <v>0,20184759764053+0,916196454860559i</v>
      </c>
      <c r="BJ352" s="68">
        <f t="shared" si="364"/>
        <v>-0.554391635691324</v>
      </c>
      <c r="BK352" s="31">
        <f t="shared" si="317"/>
        <v>77.5756195899154</v>
      </c>
      <c r="BL352" s="32">
        <f t="shared" si="365"/>
        <v>-11.7314898993969</v>
      </c>
      <c r="BM352" s="31">
        <f t="shared" si="366"/>
        <v>-13.475681323626</v>
      </c>
      <c r="BO352">
        <f t="shared" si="367"/>
        <v>0</v>
      </c>
      <c r="BP352">
        <f t="shared" si="368"/>
        <v>0</v>
      </c>
    </row>
    <row r="353" spans="14:68">
      <c r="N353" s="7">
        <v>35</v>
      </c>
      <c r="O353" s="18">
        <f t="shared" si="318"/>
        <v>22387.2113856834</v>
      </c>
      <c r="P353" s="86" t="str">
        <f t="shared" si="319"/>
        <v>60</v>
      </c>
      <c r="Q353" s="4" t="str">
        <f t="shared" si="320"/>
        <v>1+183,799650259072i</v>
      </c>
      <c r="R353" s="4">
        <f t="shared" si="331"/>
        <v>183.802370592322</v>
      </c>
      <c r="S353" s="4">
        <f t="shared" si="332"/>
        <v>1.56535567371602</v>
      </c>
      <c r="T353" s="4" t="str">
        <f t="shared" si="321"/>
        <v>1+2,20559580310887i</v>
      </c>
      <c r="U353" s="4">
        <f t="shared" si="333"/>
        <v>2.42170453331769</v>
      </c>
      <c r="V353" s="4">
        <f t="shared" si="334"/>
        <v>1.14512500322676</v>
      </c>
      <c r="W353" t="str">
        <f t="shared" si="322"/>
        <v>1-3,07700307353357i</v>
      </c>
      <c r="X353" s="4">
        <f t="shared" si="335"/>
        <v>3.2354208249523</v>
      </c>
      <c r="Y353" s="4">
        <f t="shared" si="336"/>
        <v>-1.25657206994305</v>
      </c>
      <c r="Z353" t="str">
        <f t="shared" si="323"/>
        <v>0,995908675643859+0,821012598512516i</v>
      </c>
      <c r="AA353" s="4">
        <f t="shared" si="337"/>
        <v>1.29069584997356</v>
      </c>
      <c r="AB353" s="4">
        <f t="shared" si="338"/>
        <v>0.68943425298956</v>
      </c>
      <c r="AC353" s="67" t="str">
        <f t="shared" si="339"/>
        <v>-1,41524313342961-1,38709965085422i</v>
      </c>
      <c r="AD353" s="68">
        <f t="shared" si="340"/>
        <v>5.94056319214912</v>
      </c>
      <c r="AE353" s="31">
        <f t="shared" si="341"/>
        <v>-135.575393050798</v>
      </c>
      <c r="AF353" s="32" t="str">
        <f t="shared" si="342"/>
        <v>326,048966736478</v>
      </c>
      <c r="AG353" s="32" t="str">
        <f t="shared" si="324"/>
        <v>1+118,156918023689i</v>
      </c>
      <c r="AH353" s="32">
        <f t="shared" si="343"/>
        <v>118.16114960873</v>
      </c>
      <c r="AI353" s="32">
        <f t="shared" si="344"/>
        <v>1.56233320722632</v>
      </c>
      <c r="AJ353" s="32" t="str">
        <f t="shared" si="325"/>
        <v>1+2,20559580310887i</v>
      </c>
      <c r="AK353" s="32">
        <f t="shared" si="345"/>
        <v>2.42170453331769</v>
      </c>
      <c r="AL353" s="32">
        <f t="shared" si="346"/>
        <v>1.14512500322676</v>
      </c>
      <c r="AM353" s="32" t="str">
        <f t="shared" si="326"/>
        <v>1-0,36400008806333i</v>
      </c>
      <c r="AN353" s="32">
        <f t="shared" si="347"/>
        <v>1.06418798344565</v>
      </c>
      <c r="AO353" s="32">
        <f t="shared" si="348"/>
        <v>-0.349092211712189</v>
      </c>
      <c r="AP353" s="30" t="str">
        <f t="shared" si="349"/>
        <v>5,12354147211804-4,93148967509791i</v>
      </c>
      <c r="AQ353" s="32">
        <f t="shared" si="350"/>
        <v>17.0389525204744</v>
      </c>
      <c r="AR353" s="31">
        <f t="shared" si="351"/>
        <v>-43.905779659404</v>
      </c>
      <c r="AS353" t="str">
        <f t="shared" si="327"/>
        <v>-0,000100699300699301</v>
      </c>
      <c r="AT353" t="str">
        <f t="shared" si="328"/>
        <v>0,031606975571337i</v>
      </c>
      <c r="AU353">
        <f t="shared" si="352"/>
        <v>0.031606975571337</v>
      </c>
      <c r="AV353">
        <f t="shared" si="353"/>
        <v>1.5707963267949</v>
      </c>
      <c r="AW353" t="str">
        <f t="shared" si="329"/>
        <v>1+1,6182191763157i</v>
      </c>
      <c r="AX353">
        <f t="shared" si="354"/>
        <v>1.90227056503429</v>
      </c>
      <c r="AY353">
        <f t="shared" si="355"/>
        <v>1.01727314824346</v>
      </c>
      <c r="AZ353" t="str">
        <f t="shared" si="330"/>
        <v>1+77,3646487059869i</v>
      </c>
      <c r="BA353">
        <f t="shared" si="356"/>
        <v>77.3711113362136</v>
      </c>
      <c r="BB353">
        <f t="shared" si="357"/>
        <v>1.5578712462807</v>
      </c>
      <c r="BC353" s="30" t="str">
        <f t="shared" si="358"/>
        <v>-0,0666900594224447+0,111105116465152i</v>
      </c>
      <c r="BD353" s="32">
        <f t="shared" si="359"/>
        <v>-17.7489987805197</v>
      </c>
      <c r="BE353" s="31">
        <f t="shared" si="360"/>
        <v>120.973989430333</v>
      </c>
      <c r="BF353" s="30" t="str">
        <f t="shared" si="361"/>
        <v>0,248496516922557-0,0647349950258833i</v>
      </c>
      <c r="BG353" s="68">
        <f t="shared" si="362"/>
        <v>-11.8084355883706</v>
      </c>
      <c r="BH353" s="31">
        <f t="shared" si="363"/>
        <v>-14.6014036204652</v>
      </c>
      <c r="BI353" s="30" t="str">
        <f t="shared" si="316"/>
        <v>0,206224449469536+0,898133011447163i</v>
      </c>
      <c r="BJ353" s="68">
        <f t="shared" si="364"/>
        <v>-0.710046260045327</v>
      </c>
      <c r="BK353" s="31">
        <f t="shared" si="317"/>
        <v>77.068209770929</v>
      </c>
      <c r="BL353" s="32">
        <f t="shared" si="365"/>
        <v>-11.8084355883706</v>
      </c>
      <c r="BM353" s="31">
        <f t="shared" si="366"/>
        <v>-14.6014036204652</v>
      </c>
      <c r="BO353">
        <f t="shared" si="367"/>
        <v>0</v>
      </c>
      <c r="BP353">
        <f t="shared" si="368"/>
        <v>0</v>
      </c>
    </row>
    <row r="354" spans="14:68">
      <c r="N354" s="7">
        <v>36</v>
      </c>
      <c r="O354" s="18">
        <f t="shared" si="318"/>
        <v>22908.6765276778</v>
      </c>
      <c r="P354" s="86" t="str">
        <f t="shared" si="319"/>
        <v>60</v>
      </c>
      <c r="Q354" s="4" t="str">
        <f t="shared" si="320"/>
        <v>1+188,080894093763i</v>
      </c>
      <c r="R354" s="4">
        <f t="shared" si="331"/>
        <v>188.083552505553</v>
      </c>
      <c r="S354" s="4">
        <f t="shared" si="332"/>
        <v>1.56547951573881</v>
      </c>
      <c r="T354" s="4" t="str">
        <f t="shared" si="321"/>
        <v>1+2,25697072912516i</v>
      </c>
      <c r="U354" s="4">
        <f t="shared" si="333"/>
        <v>2.46858600662966</v>
      </c>
      <c r="V354" s="4">
        <f t="shared" si="334"/>
        <v>1.15371884073141</v>
      </c>
      <c r="W354" t="str">
        <f t="shared" si="322"/>
        <v>1-3,14867568237327i</v>
      </c>
      <c r="X354" s="4">
        <f t="shared" si="335"/>
        <v>3.30365835896643</v>
      </c>
      <c r="Y354" s="4">
        <f t="shared" si="336"/>
        <v>-1.26327756059755</v>
      </c>
      <c r="Z354" t="str">
        <f t="shared" si="323"/>
        <v>0,995715857467349+0,840136438632075i</v>
      </c>
      <c r="AA354" s="4">
        <f t="shared" si="337"/>
        <v>1.30279672410139</v>
      </c>
      <c r="AB354" s="4">
        <f t="shared" si="338"/>
        <v>0.700855102421122</v>
      </c>
      <c r="AC354" s="67" t="str">
        <f t="shared" si="339"/>
        <v>-1,43959693526143-1,38396874890839i</v>
      </c>
      <c r="AD354" s="68">
        <f t="shared" si="340"/>
        <v>6.00734331098435</v>
      </c>
      <c r="AE354" s="31">
        <f t="shared" si="341"/>
        <v>-136.128660842143</v>
      </c>
      <c r="AF354" s="32" t="str">
        <f t="shared" si="342"/>
        <v>326,048966736478</v>
      </c>
      <c r="AG354" s="32" t="str">
        <f t="shared" si="324"/>
        <v>1+120,909146203133i</v>
      </c>
      <c r="AH354" s="32">
        <f t="shared" si="343"/>
        <v>120.913281468872</v>
      </c>
      <c r="AI354" s="32">
        <f t="shared" si="344"/>
        <v>1.56252584246022</v>
      </c>
      <c r="AJ354" s="32" t="str">
        <f t="shared" si="325"/>
        <v>1+2,25697072912516i</v>
      </c>
      <c r="AK354" s="32">
        <f t="shared" si="345"/>
        <v>2.46858600662966</v>
      </c>
      <c r="AL354" s="32">
        <f t="shared" si="346"/>
        <v>1.15371884073141</v>
      </c>
      <c r="AM354" s="32" t="str">
        <f t="shared" si="326"/>
        <v>1-0,372478739304785i</v>
      </c>
      <c r="AN354" s="32">
        <f t="shared" si="347"/>
        <v>1.0671178056963</v>
      </c>
      <c r="AO354" s="32">
        <f t="shared" si="348"/>
        <v>-0.356558419789719</v>
      </c>
      <c r="AP354" s="30" t="str">
        <f t="shared" si="349"/>
        <v>5,12250694907134-4,921275527728i</v>
      </c>
      <c r="AQ354" s="32">
        <f t="shared" si="350"/>
        <v>17.0293889985908</v>
      </c>
      <c r="AR354" s="31">
        <f t="shared" si="351"/>
        <v>-43.8522084382627</v>
      </c>
      <c r="AS354" t="str">
        <f t="shared" si="327"/>
        <v>-0,000100699300699301</v>
      </c>
      <c r="AT354" t="str">
        <f t="shared" si="328"/>
        <v>0,0323431966093382i</v>
      </c>
      <c r="AU354">
        <f t="shared" si="352"/>
        <v>0.0323431966093382</v>
      </c>
      <c r="AV354">
        <f t="shared" si="353"/>
        <v>1.5707963267949</v>
      </c>
      <c r="AW354" t="str">
        <f t="shared" si="329"/>
        <v>1+1,6559123430982i</v>
      </c>
      <c r="AX354">
        <f t="shared" si="354"/>
        <v>1.93443678832496</v>
      </c>
      <c r="AY354">
        <f t="shared" si="355"/>
        <v>1.0275165307491</v>
      </c>
      <c r="AZ354" t="str">
        <f t="shared" si="330"/>
        <v>1+79,1667028710992i</v>
      </c>
      <c r="BA354">
        <f t="shared" si="356"/>
        <v>79.1730184057732</v>
      </c>
      <c r="BB354">
        <f t="shared" si="357"/>
        <v>1.55816542537701</v>
      </c>
      <c r="BC354" s="30" t="str">
        <f t="shared" si="358"/>
        <v>-0,0644906262770744+0,109904285667419i</v>
      </c>
      <c r="BD354" s="32">
        <f t="shared" si="359"/>
        <v>-17.8946765320729</v>
      </c>
      <c r="BE354" s="31">
        <f t="shared" si="360"/>
        <v>120.403942065462</v>
      </c>
      <c r="BF354" s="30" t="str">
        <f t="shared" si="361"/>
        <v>0,244944604676375-0,0689648614539119i</v>
      </c>
      <c r="BG354" s="68">
        <f t="shared" si="362"/>
        <v>-11.8873332210885</v>
      </c>
      <c r="BH354" s="31">
        <f t="shared" si="363"/>
        <v>-15.7247187766816</v>
      </c>
      <c r="BI354" s="30" t="str">
        <f t="shared" si="316"/>
        <v>0,21051559019322+0,880361607929294i</v>
      </c>
      <c r="BJ354" s="68">
        <f t="shared" si="364"/>
        <v>-0.865287533482058</v>
      </c>
      <c r="BK354" s="31">
        <f t="shared" si="317"/>
        <v>76.5517336271988</v>
      </c>
      <c r="BL354" s="32">
        <f t="shared" si="365"/>
        <v>-11.8873332210885</v>
      </c>
      <c r="BM354" s="31">
        <f t="shared" si="366"/>
        <v>-15.7247187766816</v>
      </c>
      <c r="BO354">
        <f t="shared" si="367"/>
        <v>0</v>
      </c>
      <c r="BP354">
        <f t="shared" si="368"/>
        <v>0</v>
      </c>
    </row>
    <row r="355" spans="14:68">
      <c r="N355" s="7">
        <v>37</v>
      </c>
      <c r="O355" s="18">
        <f t="shared" si="318"/>
        <v>23442.2881531992</v>
      </c>
      <c r="P355" s="86" t="str">
        <f t="shared" si="319"/>
        <v>60</v>
      </c>
      <c r="Q355" s="4" t="str">
        <f t="shared" si="320"/>
        <v>1+192,461860908045i</v>
      </c>
      <c r="R355" s="4">
        <f t="shared" si="331"/>
        <v>192.464458807822</v>
      </c>
      <c r="S355" s="4">
        <f t="shared" si="332"/>
        <v>1.5656005389306</v>
      </c>
      <c r="T355" s="4" t="str">
        <f t="shared" si="321"/>
        <v>1+2,30954233089655i</v>
      </c>
      <c r="U355" s="4">
        <f t="shared" si="333"/>
        <v>2.51674110273645</v>
      </c>
      <c r="V355" s="4">
        <f t="shared" si="334"/>
        <v>1.16218077383353</v>
      </c>
      <c r="W355" t="str">
        <f t="shared" si="322"/>
        <v>1-3,22201776073737i</v>
      </c>
      <c r="X355" s="4">
        <f t="shared" si="335"/>
        <v>3.37363282686588</v>
      </c>
      <c r="Y355" s="4">
        <f t="shared" si="336"/>
        <v>-1.26985812894328</v>
      </c>
      <c r="Z355" t="str">
        <f t="shared" si="323"/>
        <v>0,995513952050142+0,859705730211908i</v>
      </c>
      <c r="AA355" s="4">
        <f t="shared" si="337"/>
        <v>1.31534861207426</v>
      </c>
      <c r="AB355" s="4">
        <f t="shared" si="338"/>
        <v>0.712325193201057</v>
      </c>
      <c r="AC355" s="67" t="str">
        <f t="shared" si="339"/>
        <v>-1,46414717339758-1,38046693779849i</v>
      </c>
      <c r="AD355" s="68">
        <f t="shared" si="340"/>
        <v>6.07392385039543</v>
      </c>
      <c r="AE355" s="31">
        <f t="shared" si="341"/>
        <v>-136.684988492311</v>
      </c>
      <c r="AF355" s="32" t="str">
        <f t="shared" si="342"/>
        <v>326,048966736478</v>
      </c>
      <c r="AG355" s="32" t="str">
        <f t="shared" si="324"/>
        <v>1+123,725482012315i</v>
      </c>
      <c r="AH355" s="32">
        <f t="shared" si="343"/>
        <v>123.729523151024</v>
      </c>
      <c r="AI355" s="32">
        <f t="shared" si="344"/>
        <v>1.56271409337398</v>
      </c>
      <c r="AJ355" s="32" t="str">
        <f t="shared" si="325"/>
        <v>1+2,30954233089655i</v>
      </c>
      <c r="AK355" s="32">
        <f t="shared" si="345"/>
        <v>2.51674110273645</v>
      </c>
      <c r="AL355" s="32">
        <f t="shared" si="346"/>
        <v>1.16218077383353</v>
      </c>
      <c r="AM355" s="32" t="str">
        <f t="shared" si="326"/>
        <v>1-0,381154883704154i</v>
      </c>
      <c r="AN355" s="32">
        <f t="shared" si="347"/>
        <v>1.07017710934757</v>
      </c>
      <c r="AO355" s="32">
        <f t="shared" si="348"/>
        <v>-0.364155783632141</v>
      </c>
      <c r="AP355" s="30" t="str">
        <f t="shared" si="349"/>
        <v>5,12151898100545-4,91366993544475i</v>
      </c>
      <c r="AQ355" s="32">
        <f t="shared" si="350"/>
        <v>17.0220737676567</v>
      </c>
      <c r="AR355" s="31">
        <f t="shared" si="351"/>
        <v>-43.8134582514329</v>
      </c>
      <c r="AS355" t="str">
        <f t="shared" si="327"/>
        <v>-0,000100699300699301</v>
      </c>
      <c r="AT355" t="str">
        <f t="shared" si="328"/>
        <v>0,0330965664382943i</v>
      </c>
      <c r="AU355">
        <f t="shared" si="352"/>
        <v>0.0330965664382943</v>
      </c>
      <c r="AV355">
        <f t="shared" si="353"/>
        <v>1.5707963267949</v>
      </c>
      <c r="AW355" t="str">
        <f t="shared" si="329"/>
        <v>1+1,69448349652359i</v>
      </c>
      <c r="AX355">
        <f t="shared" si="354"/>
        <v>1.96755541726042</v>
      </c>
      <c r="AY355">
        <f t="shared" si="355"/>
        <v>1.03765070911454</v>
      </c>
      <c r="AZ355" t="str">
        <f t="shared" si="330"/>
        <v>1+81,010732269968i</v>
      </c>
      <c r="BA355">
        <f t="shared" si="356"/>
        <v>81.0169040566007</v>
      </c>
      <c r="BB355">
        <f t="shared" si="357"/>
        <v>1.55845291025216</v>
      </c>
      <c r="BC355" s="30" t="str">
        <f t="shared" si="358"/>
        <v>-0,0623378376293232+0,108673027634446i</v>
      </c>
      <c r="BD355" s="32">
        <f t="shared" si="359"/>
        <v>-18.0421563251513</v>
      </c>
      <c r="BE355" s="31">
        <f t="shared" si="360"/>
        <v>119.839768086309</v>
      </c>
      <c r="BF355" s="30" t="str">
        <f t="shared" si="361"/>
        <v>0,241291290440505-0,0730579824143999i</v>
      </c>
      <c r="BG355" s="68">
        <f t="shared" si="362"/>
        <v>-11.9682324747559</v>
      </c>
      <c r="BH355" s="31">
        <f t="shared" si="363"/>
        <v>-16.8452204060024</v>
      </c>
      <c r="BI355" s="30" t="str">
        <f t="shared" si="316"/>
        <v>0,214718970027719+0,862878532352987i</v>
      </c>
      <c r="BJ355" s="68">
        <f t="shared" si="364"/>
        <v>-1.02008255749459</v>
      </c>
      <c r="BK355" s="31">
        <f t="shared" si="317"/>
        <v>76.0263098348759</v>
      </c>
      <c r="BL355" s="32">
        <f t="shared" si="365"/>
        <v>-11.9682324747559</v>
      </c>
      <c r="BM355" s="31">
        <f t="shared" si="366"/>
        <v>-16.8452204060024</v>
      </c>
      <c r="BO355">
        <f t="shared" si="367"/>
        <v>0</v>
      </c>
      <c r="BP355">
        <f t="shared" si="368"/>
        <v>0</v>
      </c>
    </row>
    <row r="356" spans="14:68">
      <c r="N356" s="7">
        <v>38</v>
      </c>
      <c r="O356" s="18">
        <f t="shared" si="318"/>
        <v>23988.3291901949</v>
      </c>
      <c r="P356" s="86" t="str">
        <f t="shared" si="319"/>
        <v>60</v>
      </c>
      <c r="Q356" s="4" t="str">
        <f t="shared" si="320"/>
        <v>1+196,944873548517i</v>
      </c>
      <c r="R356" s="4">
        <f t="shared" si="331"/>
        <v>196.947412313646</v>
      </c>
      <c r="S356" s="4">
        <f t="shared" si="332"/>
        <v>1.56571880744528</v>
      </c>
      <c r="T356" s="4" t="str">
        <f t="shared" si="321"/>
        <v>1+2,3633384825822i</v>
      </c>
      <c r="U356" s="4">
        <f t="shared" si="333"/>
        <v>2.56619733910974</v>
      </c>
      <c r="V356" s="4">
        <f t="shared" si="334"/>
        <v>1.17051044082647</v>
      </c>
      <c r="W356" t="str">
        <f t="shared" si="322"/>
        <v>1-3,29706819556669i</v>
      </c>
      <c r="X356" s="4">
        <f t="shared" si="335"/>
        <v>3.44538222643256</v>
      </c>
      <c r="Y356" s="4">
        <f t="shared" si="336"/>
        <v>-1.27631498355579</v>
      </c>
      <c r="Z356" t="str">
        <f t="shared" si="323"/>
        <v>0,995302531123778+0,879730849149457i</v>
      </c>
      <c r="AA356" s="4">
        <f t="shared" si="337"/>
        <v>1.32836497070896</v>
      </c>
      <c r="AB356" s="4">
        <f t="shared" si="338"/>
        <v>0.723838908833712</v>
      </c>
      <c r="AC356" s="67" t="str">
        <f t="shared" si="339"/>
        <v>-1,4888702367303-1,37657953441616i</v>
      </c>
      <c r="AD356" s="68">
        <f t="shared" si="340"/>
        <v>6.14022032161007</v>
      </c>
      <c r="AE356" s="31">
        <f t="shared" si="341"/>
        <v>-137.244147846099</v>
      </c>
      <c r="AF356" s="32" t="str">
        <f t="shared" si="342"/>
        <v>326,048966736478</v>
      </c>
      <c r="AG356" s="32" t="str">
        <f t="shared" si="324"/>
        <v>1+126,607418709761i</v>
      </c>
      <c r="AH356" s="32">
        <f t="shared" si="343"/>
        <v>126.611367863825</v>
      </c>
      <c r="AI356" s="32">
        <f t="shared" si="344"/>
        <v>1.56289805972732</v>
      </c>
      <c r="AJ356" s="32" t="str">
        <f t="shared" si="325"/>
        <v>1+2,3633384825822i</v>
      </c>
      <c r="AK356" s="32">
        <f t="shared" si="345"/>
        <v>2.56619733910974</v>
      </c>
      <c r="AL356" s="32">
        <f t="shared" si="346"/>
        <v>1.17051044082647</v>
      </c>
      <c r="AM356" s="32" t="str">
        <f t="shared" si="326"/>
        <v>1-0,390033121468048i</v>
      </c>
      <c r="AN356" s="32">
        <f t="shared" si="347"/>
        <v>1.07337124791104</v>
      </c>
      <c r="AO356" s="32">
        <f t="shared" si="348"/>
        <v>-0.371884822305038</v>
      </c>
      <c r="AP356" s="30" t="str">
        <f t="shared" si="349"/>
        <v>5,12057547314889-4,90866891707268i</v>
      </c>
      <c r="AQ356" s="32">
        <f t="shared" si="350"/>
        <v>17.0170027115482</v>
      </c>
      <c r="AR356" s="31">
        <f t="shared" si="351"/>
        <v>-43.7895852792581</v>
      </c>
      <c r="AS356" t="str">
        <f t="shared" si="327"/>
        <v>-0,000100699300699301</v>
      </c>
      <c r="AT356" t="str">
        <f t="shared" si="328"/>
        <v>0,033867484504861i</v>
      </c>
      <c r="AU356">
        <f t="shared" si="352"/>
        <v>0.033867484504861</v>
      </c>
      <c r="AV356">
        <f t="shared" si="353"/>
        <v>1.5707963267949</v>
      </c>
      <c r="AW356" t="str">
        <f t="shared" si="329"/>
        <v>1+1,73395308752798i</v>
      </c>
      <c r="AX356">
        <f t="shared" si="354"/>
        <v>2.00164764875035</v>
      </c>
      <c r="AY356">
        <f t="shared" si="355"/>
        <v>1.0476727297406</v>
      </c>
      <c r="AZ356" t="str">
        <f t="shared" si="330"/>
        <v>1+82,8977146313909i</v>
      </c>
      <c r="BA356">
        <f t="shared" si="356"/>
        <v>82.9037459413477</v>
      </c>
      <c r="BB356">
        <f t="shared" si="357"/>
        <v>1.55873385314426</v>
      </c>
      <c r="BC356" s="30" t="str">
        <f t="shared" si="358"/>
        <v>-0,0602324347197958+0,107413548897609i</v>
      </c>
      <c r="BD356" s="32">
        <f t="shared" si="359"/>
        <v>-18.191399252897</v>
      </c>
      <c r="BE356" s="31">
        <f t="shared" si="360"/>
        <v>119.281645444244</v>
      </c>
      <c r="BF356" s="30" t="str">
        <f t="shared" si="361"/>
        <v>0,237541572471563-0,0770100990318965i</v>
      </c>
      <c r="BG356" s="68">
        <f t="shared" si="362"/>
        <v>-12.0511789312869</v>
      </c>
      <c r="BH356" s="31">
        <f t="shared" si="363"/>
        <v>-17.9625024018549</v>
      </c>
      <c r="BI356" s="30" t="str">
        <f t="shared" si="316"/>
        <v>0,218832820831932+0,845680264077647i</v>
      </c>
      <c r="BJ356" s="68">
        <f t="shared" si="364"/>
        <v>-1.17439654134874</v>
      </c>
      <c r="BK356" s="31">
        <f t="shared" si="317"/>
        <v>75.492060164986</v>
      </c>
      <c r="BL356" s="32">
        <f t="shared" si="365"/>
        <v>-12.0511789312869</v>
      </c>
      <c r="BM356" s="31">
        <f t="shared" si="366"/>
        <v>-17.9625024018549</v>
      </c>
      <c r="BO356">
        <f t="shared" si="367"/>
        <v>0</v>
      </c>
      <c r="BP356">
        <f t="shared" si="368"/>
        <v>0</v>
      </c>
    </row>
    <row r="357" spans="14:68">
      <c r="N357" s="7">
        <v>39</v>
      </c>
      <c r="O357" s="18">
        <f t="shared" si="318"/>
        <v>24547.0891568503</v>
      </c>
      <c r="P357" s="86" t="str">
        <f t="shared" si="319"/>
        <v>60</v>
      </c>
      <c r="Q357" s="4" t="str">
        <f t="shared" si="320"/>
        <v>1+201,532308967816i</v>
      </c>
      <c r="R357" s="4">
        <f t="shared" si="331"/>
        <v>201.534789944315</v>
      </c>
      <c r="S357" s="4">
        <f t="shared" si="332"/>
        <v>1.56583438397715</v>
      </c>
      <c r="T357" s="4" t="str">
        <f t="shared" si="321"/>
        <v>1+2,41838770761379i</v>
      </c>
      <c r="U357" s="4">
        <f t="shared" si="333"/>
        <v>2.61698282461645</v>
      </c>
      <c r="V357" s="4">
        <f t="shared" si="334"/>
        <v>1.17870763363677</v>
      </c>
      <c r="W357" t="str">
        <f t="shared" si="322"/>
        <v>1-3,37386677959513i</v>
      </c>
      <c r="X357" s="4">
        <f t="shared" si="335"/>
        <v>3.51894544522299</v>
      </c>
      <c r="Y357" s="4">
        <f t="shared" si="336"/>
        <v>-1.28264939361655</v>
      </c>
      <c r="Z357" t="str">
        <f t="shared" si="323"/>
        <v>0,995081146236128+0,900222413027835i</v>
      </c>
      <c r="AA357" s="4">
        <f t="shared" si="337"/>
        <v>1.34185948612821</v>
      </c>
      <c r="AB357" s="4">
        <f t="shared" si="338"/>
        <v>0.735390529277803</v>
      </c>
      <c r="AC357" s="67" t="str">
        <f t="shared" si="339"/>
        <v>-1,51374178614691-1,37229325431613i</v>
      </c>
      <c r="AD357" s="68">
        <f t="shared" si="340"/>
        <v>6.20615177851578</v>
      </c>
      <c r="AE357" s="31">
        <f t="shared" si="341"/>
        <v>-137.805899401871</v>
      </c>
      <c r="AF357" s="32" t="str">
        <f t="shared" si="342"/>
        <v>326,048966736478</v>
      </c>
      <c r="AG357" s="32" t="str">
        <f t="shared" si="324"/>
        <v>1+129,556484336453i</v>
      </c>
      <c r="AH357" s="32">
        <f t="shared" si="343"/>
        <v>129.560343599504</v>
      </c>
      <c r="AI357" s="32">
        <f t="shared" si="344"/>
        <v>1.56307783901181</v>
      </c>
      <c r="AJ357" s="32" t="str">
        <f t="shared" si="325"/>
        <v>1+2,41838770761379i</v>
      </c>
      <c r="AK357" s="32">
        <f t="shared" si="345"/>
        <v>2.61698282461645</v>
      </c>
      <c r="AL357" s="32">
        <f t="shared" si="346"/>
        <v>1.17870763363677</v>
      </c>
      <c r="AM357" s="32" t="str">
        <f t="shared" si="326"/>
        <v>1-0,399118159955641i</v>
      </c>
      <c r="AN357" s="32">
        <f t="shared" si="347"/>
        <v>1.07670576556754</v>
      </c>
      <c r="AO357" s="32">
        <f t="shared" si="348"/>
        <v>-0.379745939088003</v>
      </c>
      <c r="AP357" s="30" t="str">
        <f t="shared" si="349"/>
        <v>5,11967442496224-4,90626986898514i</v>
      </c>
      <c r="AQ357" s="32">
        <f t="shared" si="350"/>
        <v>17.0141729624564</v>
      </c>
      <c r="AR357" s="31">
        <f t="shared" si="351"/>
        <v>-43.7806301355413</v>
      </c>
      <c r="AS357" t="str">
        <f t="shared" si="327"/>
        <v>-0,000100699300699301</v>
      </c>
      <c r="AT357" t="str">
        <f t="shared" si="328"/>
        <v>0,0346563595600013i</v>
      </c>
      <c r="AU357">
        <f t="shared" si="352"/>
        <v>0.0346563595600013</v>
      </c>
      <c r="AV357">
        <f t="shared" si="353"/>
        <v>1.5707963267949</v>
      </c>
      <c r="AW357" t="str">
        <f t="shared" si="329"/>
        <v>1+1,77434204341096i</v>
      </c>
      <c r="AX357">
        <f t="shared" si="354"/>
        <v>2.03673505567508</v>
      </c>
      <c r="AY357">
        <f t="shared" si="355"/>
        <v>1.05757985288853</v>
      </c>
      <c r="AZ357" t="str">
        <f t="shared" si="330"/>
        <v>1+84,8286504583919i</v>
      </c>
      <c r="BA357">
        <f t="shared" si="356"/>
        <v>84.8345444886223</v>
      </c>
      <c r="BB357">
        <f t="shared" si="357"/>
        <v>1.55900840283544</v>
      </c>
      <c r="BC357" s="30" t="str">
        <f t="shared" si="358"/>
        <v>-0,0581750283095014+0,106128050035744i</v>
      </c>
      <c r="BD357" s="32">
        <f t="shared" si="359"/>
        <v>-18.3423658454674</v>
      </c>
      <c r="BE357" s="31">
        <f t="shared" si="360"/>
        <v>118.729739639322</v>
      </c>
      <c r="BF357" s="30" t="str">
        <f t="shared" si="361"/>
        <v>0,233700778420148-0,0808172651026171i</v>
      </c>
      <c r="BG357" s="68">
        <f t="shared" si="362"/>
        <v>-12.1362140669516</v>
      </c>
      <c r="BH357" s="31">
        <f t="shared" si="363"/>
        <v>-19.0761597625482</v>
      </c>
      <c r="BI357" s="30" t="str">
        <f t="shared" si="316"/>
        <v>0,22285564953691+0,828763452061376i</v>
      </c>
      <c r="BJ357" s="68">
        <f t="shared" si="364"/>
        <v>-1.32819288301099</v>
      </c>
      <c r="BK357" s="31">
        <f t="shared" si="317"/>
        <v>74.9491095037811</v>
      </c>
      <c r="BL357" s="32">
        <f t="shared" si="365"/>
        <v>-12.1362140669516</v>
      </c>
      <c r="BM357" s="31">
        <f t="shared" si="366"/>
        <v>-19.0761597625482</v>
      </c>
      <c r="BO357">
        <f t="shared" si="367"/>
        <v>0</v>
      </c>
      <c r="BP357">
        <f t="shared" si="368"/>
        <v>0</v>
      </c>
    </row>
    <row r="358" spans="14:68">
      <c r="N358" s="7">
        <v>40</v>
      </c>
      <c r="O358" s="18">
        <f t="shared" si="318"/>
        <v>25118.8643150959</v>
      </c>
      <c r="P358" s="86" t="str">
        <f t="shared" si="319"/>
        <v>60</v>
      </c>
      <c r="Q358" s="4" t="str">
        <f t="shared" si="320"/>
        <v>1+206,226599484927i</v>
      </c>
      <c r="R358" s="4">
        <f t="shared" si="331"/>
        <v>206.229023988178</v>
      </c>
      <c r="S358" s="4">
        <f t="shared" si="332"/>
        <v>1.56594732979405</v>
      </c>
      <c r="T358" s="4" t="str">
        <f t="shared" si="321"/>
        <v>1+2,47471919381912i</v>
      </c>
      <c r="U358" s="4">
        <f t="shared" si="333"/>
        <v>2.66912627806493</v>
      </c>
      <c r="V358" s="4">
        <f t="shared" si="334"/>
        <v>1.18677229105891</v>
      </c>
      <c r="W358" t="str">
        <f t="shared" si="322"/>
        <v>1-3,45245423244855i</v>
      </c>
      <c r="X358" s="4">
        <f t="shared" si="335"/>
        <v>3.59436228379276</v>
      </c>
      <c r="Y358" s="4">
        <f t="shared" si="336"/>
        <v>-1.2888626836207</v>
      </c>
      <c r="Z358" t="str">
        <f t="shared" si="323"/>
        <v>0,994849327800162+0,921191286745458i</v>
      </c>
      <c r="AA358" s="4">
        <f t="shared" si="337"/>
        <v>1.35584607231064</v>
      </c>
      <c r="AB358" s="4">
        <f t="shared" si="338"/>
        <v>0.746974245129943</v>
      </c>
      <c r="AC358" s="67" t="str">
        <f t="shared" si="339"/>
        <v>-1,53873684851708-1,36759626755959i</v>
      </c>
      <c r="AD358" s="68">
        <f t="shared" si="340"/>
        <v>6.27164092239484</v>
      </c>
      <c r="AE358" s="31">
        <f t="shared" si="341"/>
        <v>-138.369993210521</v>
      </c>
      <c r="AF358" s="32" t="str">
        <f t="shared" si="342"/>
        <v>326,048966736478</v>
      </c>
      <c r="AG358" s="32" t="str">
        <f t="shared" si="324"/>
        <v>1+132,574242526024i</v>
      </c>
      <c r="AH358" s="32">
        <f t="shared" si="343"/>
        <v>132.578013944051</v>
      </c>
      <c r="AI358" s="32">
        <f t="shared" si="344"/>
        <v>1.5632535265023</v>
      </c>
      <c r="AJ358" s="32" t="str">
        <f t="shared" si="325"/>
        <v>1+2,47471919381912i</v>
      </c>
      <c r="AK358" s="32">
        <f t="shared" si="345"/>
        <v>2.66912627806493</v>
      </c>
      <c r="AL358" s="32">
        <f t="shared" si="346"/>
        <v>1.18677229105891</v>
      </c>
      <c r="AM358" s="32" t="str">
        <f t="shared" si="326"/>
        <v>1-0,408414816174598i</v>
      </c>
      <c r="AN358" s="32">
        <f t="shared" si="347"/>
        <v>1.08018640153954</v>
      </c>
      <c r="AO358" s="32">
        <f t="shared" si="348"/>
        <v>-0.387739414660672</v>
      </c>
      <c r="AP358" s="30" t="str">
        <f t="shared" si="349"/>
        <v>5,11881392590117-4,90647156395274i</v>
      </c>
      <c r="AQ358" s="32">
        <f t="shared" si="350"/>
        <v>17.0135829208335</v>
      </c>
      <c r="AR358" s="31">
        <f t="shared" si="351"/>
        <v>-43.7866178677066</v>
      </c>
      <c r="AS358" t="str">
        <f t="shared" si="327"/>
        <v>-0,000100699300699301</v>
      </c>
      <c r="AT358" t="str">
        <f t="shared" si="328"/>
        <v>0,0354636098757116i</v>
      </c>
      <c r="AU358">
        <f t="shared" si="352"/>
        <v>0.0354636098757116</v>
      </c>
      <c r="AV358">
        <f t="shared" si="353"/>
        <v>1.5707963267949</v>
      </c>
      <c r="AW358" t="str">
        <f t="shared" si="329"/>
        <v>1+1,81567177893155i</v>
      </c>
      <c r="AX358">
        <f t="shared" si="354"/>
        <v>2.07283960035707</v>
      </c>
      <c r="AY358">
        <f t="shared" si="355"/>
        <v>1.06736955163668</v>
      </c>
      <c r="AZ358" t="str">
        <f t="shared" si="330"/>
        <v>1+86,8045635587063i</v>
      </c>
      <c r="BA358">
        <f t="shared" si="356"/>
        <v>86.8103234334344</v>
      </c>
      <c r="BB358">
        <f t="shared" si="357"/>
        <v>1.55927670472992</v>
      </c>
      <c r="BC358" s="30" t="str">
        <f t="shared" si="358"/>
        <v>-0,0561661022326667+0,10481871748454i</v>
      </c>
      <c r="BD358" s="32">
        <f t="shared" si="359"/>
        <v>-18.4950161768704</v>
      </c>
      <c r="BE358" s="31">
        <f t="shared" si="360"/>
        <v>118.184203784538</v>
      </c>
      <c r="BF358" s="30" t="str">
        <f t="shared" si="361"/>
        <v>0,229774537945222-0,0844758712309979i</v>
      </c>
      <c r="BG358" s="68">
        <f t="shared" si="362"/>
        <v>-12.2233752544756</v>
      </c>
      <c r="BH358" s="31">
        <f t="shared" si="363"/>
        <v>-20.1857894259824</v>
      </c>
      <c r="BI358" s="30" t="str">
        <f t="shared" si="316"/>
        <v>0,226786230435728+0,812124894217605i</v>
      </c>
      <c r="BJ358" s="68">
        <f t="shared" si="364"/>
        <v>-1.48143325603698</v>
      </c>
      <c r="BK358" s="31">
        <f t="shared" si="317"/>
        <v>74.3975859168315</v>
      </c>
      <c r="BL358" s="32">
        <f t="shared" si="365"/>
        <v>-12.2233752544756</v>
      </c>
      <c r="BM358" s="31">
        <f t="shared" si="366"/>
        <v>-20.1857894259824</v>
      </c>
      <c r="BO358">
        <f t="shared" si="367"/>
        <v>0</v>
      </c>
      <c r="BP358">
        <f t="shared" si="368"/>
        <v>0</v>
      </c>
    </row>
    <row r="359" spans="14:68">
      <c r="N359" s="7">
        <v>41</v>
      </c>
      <c r="O359" s="18">
        <f t="shared" si="318"/>
        <v>25703.9578276886</v>
      </c>
      <c r="P359" s="86" t="str">
        <f t="shared" si="319"/>
        <v>60</v>
      </c>
      <c r="Q359" s="4" t="str">
        <f t="shared" si="320"/>
        <v>1+211,030234074815i</v>
      </c>
      <c r="R359" s="4">
        <f t="shared" si="331"/>
        <v>211.032603390261</v>
      </c>
      <c r="S359" s="4">
        <f t="shared" si="332"/>
        <v>1.56605770476983</v>
      </c>
      <c r="T359" s="4" t="str">
        <f t="shared" si="321"/>
        <v>1+2,53236280889778i</v>
      </c>
      <c r="U359" s="4">
        <f t="shared" si="333"/>
        <v>2.72265704705691</v>
      </c>
      <c r="V359" s="4">
        <f t="shared" si="334"/>
        <v>1.19470449191701</v>
      </c>
      <c r="W359" t="str">
        <f t="shared" si="322"/>
        <v>1-3,53287222223462i</v>
      </c>
      <c r="X359" s="4">
        <f t="shared" si="335"/>
        <v>3.67167347930572</v>
      </c>
      <c r="Y359" s="4">
        <f t="shared" si="336"/>
        <v>-1.29495622829395</v>
      </c>
      <c r="Z359" t="str">
        <f t="shared" si="323"/>
        <v>0,994606584097897+0,942648588276715i</v>
      </c>
      <c r="AA359" s="4">
        <f t="shared" si="337"/>
        <v>1.37033886980957</v>
      </c>
      <c r="AB359" s="4">
        <f t="shared" si="338"/>
        <v>0.758584172377289</v>
      </c>
      <c r="AC359" s="67" t="str">
        <f t="shared" si="339"/>
        <v>-1,56382991609524-1,36247824660582i</v>
      </c>
      <c r="AD359" s="68">
        <f t="shared" si="340"/>
        <v>6.33661419126421</v>
      </c>
      <c r="AE359" s="31">
        <f t="shared" si="341"/>
        <v>-138.936169823156</v>
      </c>
      <c r="AF359" s="32" t="str">
        <f t="shared" si="342"/>
        <v>326,048966736478</v>
      </c>
      <c r="AG359" s="32" t="str">
        <f t="shared" si="324"/>
        <v>1+135,66229333381i</v>
      </c>
      <c r="AH359" s="32">
        <f t="shared" si="343"/>
        <v>135.665978906241</v>
      </c>
      <c r="AI359" s="32">
        <f t="shared" si="344"/>
        <v>1.5634252153072</v>
      </c>
      <c r="AJ359" s="32" t="str">
        <f t="shared" si="325"/>
        <v>1+2,53236280889778i</v>
      </c>
      <c r="AK359" s="32">
        <f t="shared" si="345"/>
        <v>2.72265704705691</v>
      </c>
      <c r="AL359" s="32">
        <f t="shared" si="346"/>
        <v>1.19470449191701</v>
      </c>
      <c r="AM359" s="32" t="str">
        <f t="shared" si="326"/>
        <v>1-0,417928019335098i</v>
      </c>
      <c r="AN359" s="32">
        <f t="shared" si="347"/>
        <v>1.08381909438123</v>
      </c>
      <c r="AO359" s="32">
        <f t="shared" si="348"/>
        <v>-0.395865400241672</v>
      </c>
      <c r="AP359" s="30" t="str">
        <f t="shared" si="349"/>
        <v>5,1179921513699-4,90927415070635i</v>
      </c>
      <c r="AQ359" s="32">
        <f t="shared" si="350"/>
        <v>17.0152322665936</v>
      </c>
      <c r="AR359" s="31">
        <f t="shared" si="351"/>
        <v>-43.8075579583737</v>
      </c>
      <c r="AS359" t="str">
        <f t="shared" si="327"/>
        <v>-0,000100699300699301</v>
      </c>
      <c r="AT359" t="str">
        <f t="shared" si="328"/>
        <v>0,036289663466794i</v>
      </c>
      <c r="AU359">
        <f t="shared" si="352"/>
        <v>0.036289663466794</v>
      </c>
      <c r="AV359">
        <f t="shared" si="353"/>
        <v>1.5707963267949</v>
      </c>
      <c r="AW359" t="str">
        <f t="shared" si="329"/>
        <v>1+1,85796420766259i</v>
      </c>
      <c r="AX359">
        <f t="shared" si="354"/>
        <v>2.10998364850424</v>
      </c>
      <c r="AY359">
        <f t="shared" si="355"/>
        <v>1.07703951008194</v>
      </c>
      <c r="AZ359" t="str">
        <f t="shared" si="330"/>
        <v>1+88,8265015876133i</v>
      </c>
      <c r="BA359">
        <f t="shared" si="356"/>
        <v>88.8321303599901</v>
      </c>
      <c r="BB359">
        <f t="shared" si="357"/>
        <v>1.55953890093034</v>
      </c>
      <c r="BC359" s="30" t="str">
        <f t="shared" si="358"/>
        <v>-0,0542060174655566+0,103487715863742i</v>
      </c>
      <c r="BD359" s="32">
        <f t="shared" si="359"/>
        <v>-18.6493099686301</v>
      </c>
      <c r="BE359" s="31">
        <f t="shared" si="360"/>
        <v>117.645178713246</v>
      </c>
      <c r="BF359" s="30" t="str">
        <f t="shared" si="361"/>
        <v>0,225768753400291-0,0879826663841277i</v>
      </c>
      <c r="BG359" s="68">
        <f t="shared" si="362"/>
        <v>-12.3126957773659</v>
      </c>
      <c r="BH359" s="31">
        <f t="shared" si="363"/>
        <v>-21.2909911099095</v>
      </c>
      <c r="BI359" s="30" t="str">
        <f t="shared" si="316"/>
        <v>0,230623596459774+0,795761517910224i</v>
      </c>
      <c r="BJ359" s="68">
        <f t="shared" si="364"/>
        <v>-1.63407770203645</v>
      </c>
      <c r="BK359" s="31">
        <f t="shared" si="317"/>
        <v>73.8376207548727</v>
      </c>
      <c r="BL359" s="32">
        <f t="shared" si="365"/>
        <v>-12.3126957773659</v>
      </c>
      <c r="BM359" s="31">
        <f t="shared" si="366"/>
        <v>-21.2909911099095</v>
      </c>
      <c r="BO359">
        <f t="shared" si="367"/>
        <v>0</v>
      </c>
      <c r="BP359">
        <f t="shared" si="368"/>
        <v>0</v>
      </c>
    </row>
    <row r="360" spans="14:68">
      <c r="N360" s="7">
        <v>42</v>
      </c>
      <c r="O360" s="18">
        <f t="shared" si="318"/>
        <v>26302.6799189538</v>
      </c>
      <c r="P360" s="86" t="str">
        <f t="shared" si="319"/>
        <v>60</v>
      </c>
      <c r="Q360" s="4" t="str">
        <f t="shared" si="320"/>
        <v>1+215,945759688125i</v>
      </c>
      <c r="R360" s="4">
        <f t="shared" si="331"/>
        <v>215.948075071952</v>
      </c>
      <c r="S360" s="4">
        <f t="shared" si="332"/>
        <v>1.56616556741598</v>
      </c>
      <c r="T360" s="4" t="str">
        <f t="shared" si="321"/>
        <v>1+2,5913491162575i</v>
      </c>
      <c r="U360" s="4">
        <f t="shared" si="333"/>
        <v>2.77760512714254</v>
      </c>
      <c r="V360" s="4">
        <f t="shared" si="334"/>
        <v>1.20250444819136</v>
      </c>
      <c r="W360" t="str">
        <f t="shared" si="322"/>
        <v>1-3,61516338763602i</v>
      </c>
      <c r="X360" s="4">
        <f t="shared" si="335"/>
        <v>3.75092072954147</v>
      </c>
      <c r="Y360" s="4">
        <f t="shared" si="336"/>
        <v>-1.30093144772152</v>
      </c>
      <c r="Z360" t="str">
        <f t="shared" si="323"/>
        <v>0,994352400237396+0,964605694566907i</v>
      </c>
      <c r="AA360" s="4">
        <f t="shared" si="337"/>
        <v>1.3853522446832</v>
      </c>
      <c r="AB360" s="4">
        <f t="shared" si="338"/>
        <v>0.770214367632151</v>
      </c>
      <c r="AC360" s="67" t="str">
        <f t="shared" si="339"/>
        <v>-1,58899505053389-1,3569304056717i</v>
      </c>
      <c r="AD360" s="68">
        <f t="shared" si="340"/>
        <v>6.40100183367693</v>
      </c>
      <c r="AE360" s="31">
        <f t="shared" si="341"/>
        <v>-139.504161280522</v>
      </c>
      <c r="AF360" s="32" t="str">
        <f t="shared" si="342"/>
        <v>326,048966736478</v>
      </c>
      <c r="AG360" s="32" t="str">
        <f t="shared" si="324"/>
        <v>1+138,822274085223i</v>
      </c>
      <c r="AH360" s="32">
        <f t="shared" si="343"/>
        <v>138.825875765985</v>
      </c>
      <c r="AI360" s="32">
        <f t="shared" si="344"/>
        <v>1.56359299641769</v>
      </c>
      <c r="AJ360" s="32" t="str">
        <f t="shared" si="325"/>
        <v>1+2,5913491162575i</v>
      </c>
      <c r="AK360" s="32">
        <f t="shared" si="345"/>
        <v>2.77760512714254</v>
      </c>
      <c r="AL360" s="32">
        <f t="shared" si="346"/>
        <v>1.20250444819136</v>
      </c>
      <c r="AM360" s="32" t="str">
        <f t="shared" si="326"/>
        <v>1-0,42766281346338i</v>
      </c>
      <c r="AN360" s="32">
        <f t="shared" si="347"/>
        <v>1.08760998617124</v>
      </c>
      <c r="AO360" s="32">
        <f t="shared" si="348"/>
        <v>-0.404123910710702</v>
      </c>
      <c r="AP360" s="30" t="str">
        <f t="shared" si="349"/>
        <v>5,11720735885658-4,91467915421544i</v>
      </c>
      <c r="AQ360" s="32">
        <f t="shared" si="350"/>
        <v>17.0191219615276</v>
      </c>
      <c r="AR360" s="31">
        <f t="shared" si="351"/>
        <v>-43.8434443279201</v>
      </c>
      <c r="AS360" t="str">
        <f t="shared" si="327"/>
        <v>-0,000100699300699301</v>
      </c>
      <c r="AT360" t="str">
        <f t="shared" si="328"/>
        <v>0,0371349583177972i</v>
      </c>
      <c r="AU360">
        <f t="shared" si="352"/>
        <v>0.0371349583177972</v>
      </c>
      <c r="AV360">
        <f t="shared" si="353"/>
        <v>1.5707963267949</v>
      </c>
      <c r="AW360" t="str">
        <f t="shared" si="329"/>
        <v>1+1,90124175360958i</v>
      </c>
      <c r="AX360">
        <f t="shared" si="354"/>
        <v>2.14818998360676</v>
      </c>
      <c r="AY360">
        <f t="shared" si="355"/>
        <v>1.08658762083661</v>
      </c>
      <c r="AZ360" t="str">
        <f t="shared" si="330"/>
        <v>1+90,8955366034198i</v>
      </c>
      <c r="BA360">
        <f t="shared" si="356"/>
        <v>90.9010372571382</v>
      </c>
      <c r="BB360">
        <f t="shared" si="357"/>
        <v>1.55979513031229</v>
      </c>
      <c r="BC360" s="30" t="str">
        <f t="shared" si="358"/>
        <v>-0,0522950166473204+0,102137180848859i</v>
      </c>
      <c r="BD360" s="32">
        <f t="shared" si="359"/>
        <v>-18.8052066898826</v>
      </c>
      <c r="BE360" s="31">
        <f t="shared" si="360"/>
        <v>117.112793126853</v>
      </c>
      <c r="BF360" s="30" t="str">
        <f t="shared" si="361"/>
        <v>0,221689568863586-0,091334776690465i</v>
      </c>
      <c r="BG360" s="68">
        <f t="shared" si="362"/>
        <v>-12.4042048562057</v>
      </c>
      <c r="BH360" s="31">
        <f t="shared" si="363"/>
        <v>-22.3913681536688</v>
      </c>
      <c r="BI360" s="30" t="str">
        <f t="shared" si="316"/>
        <v>0,234367029569025+0,779670361638582i</v>
      </c>
      <c r="BJ360" s="68">
        <f t="shared" si="364"/>
        <v>-1.78608472835497</v>
      </c>
      <c r="BK360" s="31">
        <f t="shared" si="317"/>
        <v>73.269348798933</v>
      </c>
      <c r="BL360" s="32">
        <f t="shared" si="365"/>
        <v>-12.4042048562057</v>
      </c>
      <c r="BM360" s="31">
        <f t="shared" si="366"/>
        <v>-22.3913681536688</v>
      </c>
      <c r="BO360">
        <f t="shared" si="367"/>
        <v>0</v>
      </c>
      <c r="BP360">
        <f t="shared" si="368"/>
        <v>0</v>
      </c>
    </row>
    <row r="361" spans="14:68">
      <c r="N361" s="7">
        <v>43</v>
      </c>
      <c r="O361" s="18">
        <f t="shared" si="318"/>
        <v>26915.3480392692</v>
      </c>
      <c r="P361" s="86" t="str">
        <f t="shared" si="319"/>
        <v>60</v>
      </c>
      <c r="Q361" s="4" t="str">
        <f t="shared" si="320"/>
        <v>1+220,975782601602i</v>
      </c>
      <c r="R361" s="4">
        <f t="shared" si="331"/>
        <v>220.978045281405</v>
      </c>
      <c r="S361" s="4">
        <f t="shared" si="332"/>
        <v>1.56627097491268</v>
      </c>
      <c r="T361" s="4" t="str">
        <f t="shared" si="321"/>
        <v>1+2,65170939121923i</v>
      </c>
      <c r="U361" s="4">
        <f t="shared" si="333"/>
        <v>2.83400118127715</v>
      </c>
      <c r="V361" s="4">
        <f t="shared" si="334"/>
        <v>1.21017249814437</v>
      </c>
      <c r="W361" t="str">
        <f t="shared" si="322"/>
        <v>1-3,6993713605179i</v>
      </c>
      <c r="X361" s="4">
        <f t="shared" si="335"/>
        <v>3.83214671731395</v>
      </c>
      <c r="Y361" s="4">
        <f t="shared" si="336"/>
        <v>-1.30678980269035</v>
      </c>
      <c r="Z361" t="str">
        <f t="shared" si="323"/>
        <v>0,994086237060612+0,987074247564427i</v>
      </c>
      <c r="AA361" s="4">
        <f t="shared" si="337"/>
        <v>1.40090078767849</v>
      </c>
      <c r="AB361" s="4">
        <f t="shared" si="338"/>
        <v>0.781858843755575</v>
      </c>
      <c r="AC361" s="67" t="str">
        <f t="shared" si="339"/>
        <v>-1,61420599063335-1,35094553107324i</v>
      </c>
      <c r="AD361" s="68">
        <f t="shared" si="340"/>
        <v>6.46473796692775</v>
      </c>
      <c r="AE361" s="31">
        <f t="shared" si="341"/>
        <v>-140.073692136925</v>
      </c>
      <c r="AF361" s="32" t="str">
        <f t="shared" si="342"/>
        <v>326,048966736478</v>
      </c>
      <c r="AG361" s="32" t="str">
        <f t="shared" si="324"/>
        <v>1+142,055860243887i</v>
      </c>
      <c r="AH361" s="32">
        <f t="shared" si="343"/>
        <v>142.059379942441</v>
      </c>
      <c r="AI361" s="32">
        <f t="shared" si="344"/>
        <v>1.56375695875572</v>
      </c>
      <c r="AJ361" s="32" t="str">
        <f t="shared" si="325"/>
        <v>1+2,65170939121923i</v>
      </c>
      <c r="AK361" s="32">
        <f t="shared" si="345"/>
        <v>2.83400118127715</v>
      </c>
      <c r="AL361" s="32">
        <f t="shared" si="346"/>
        <v>1.21017249814437</v>
      </c>
      <c r="AM361" s="32" t="str">
        <f t="shared" si="326"/>
        <v>1-0,437624360076149i</v>
      </c>
      <c r="AN361" s="32">
        <f t="shared" si="347"/>
        <v>1.0915654265925</v>
      </c>
      <c r="AO361" s="32">
        <f t="shared" si="348"/>
        <v>-0.412514817746873</v>
      </c>
      <c r="AP361" s="30" t="str">
        <f t="shared" si="349"/>
        <v>5,1164578842418-4,92268947668246i</v>
      </c>
      <c r="AQ361" s="32">
        <f t="shared" si="350"/>
        <v>17.0252542429227</v>
      </c>
      <c r="AR361" s="31">
        <f t="shared" si="351"/>
        <v>-43.8942553379442</v>
      </c>
      <c r="AS361" t="str">
        <f t="shared" si="327"/>
        <v>-0,000100699300699301</v>
      </c>
      <c r="AT361" t="str">
        <f t="shared" si="328"/>
        <v>0,0379999426152399i</v>
      </c>
      <c r="AU361">
        <f t="shared" si="352"/>
        <v>0.0379999426152399</v>
      </c>
      <c r="AV361">
        <f t="shared" si="353"/>
        <v>1.5707963267949</v>
      </c>
      <c r="AW361" t="str">
        <f t="shared" si="329"/>
        <v>1+1,94552736310026i</v>
      </c>
      <c r="AX361">
        <f t="shared" si="354"/>
        <v>2.18748182176946</v>
      </c>
      <c r="AY361">
        <f t="shared" si="355"/>
        <v>1.09601198187383</v>
      </c>
      <c r="AZ361" t="str">
        <f t="shared" si="330"/>
        <v>1+93,0127656358785i</v>
      </c>
      <c r="BA361">
        <f t="shared" si="356"/>
        <v>93.0181410867518</v>
      </c>
      <c r="BB361">
        <f t="shared" si="357"/>
        <v>1.56004552859733</v>
      </c>
      <c r="BC361" s="30" t="str">
        <f t="shared" si="358"/>
        <v>-0,0504332289889212+0,100769212606607i</v>
      </c>
      <c r="BD361" s="32">
        <f t="shared" si="359"/>
        <v>-18.9626656535557</v>
      </c>
      <c r="BE361" s="31">
        <f t="shared" si="360"/>
        <v>116.587163779743</v>
      </c>
      <c r="BF361" s="30" t="str">
        <f t="shared" si="361"/>
        <v>0,217543337801565-0,0945297213408142i</v>
      </c>
      <c r="BG361" s="68">
        <f t="shared" si="362"/>
        <v>-12.497927686628</v>
      </c>
      <c r="BH361" s="31">
        <f t="shared" si="363"/>
        <v>-23.4865283571812</v>
      </c>
      <c r="BI361" s="30" t="str">
        <f t="shared" si="316"/>
        <v>0,238016050383984+0,763848557948792i</v>
      </c>
      <c r="BJ361" s="68">
        <f t="shared" si="364"/>
        <v>-1.93741141063307</v>
      </c>
      <c r="BK361" s="31">
        <f t="shared" si="317"/>
        <v>72.6929084417992</v>
      </c>
      <c r="BL361" s="32">
        <f t="shared" si="365"/>
        <v>-12.497927686628</v>
      </c>
      <c r="BM361" s="31">
        <f t="shared" si="366"/>
        <v>-23.4865283571812</v>
      </c>
      <c r="BO361">
        <f t="shared" si="367"/>
        <v>0</v>
      </c>
      <c r="BP361">
        <f t="shared" si="368"/>
        <v>0</v>
      </c>
    </row>
    <row r="362" spans="14:68">
      <c r="N362" s="7">
        <v>44</v>
      </c>
      <c r="O362" s="18">
        <f t="shared" si="318"/>
        <v>27542.2870333817</v>
      </c>
      <c r="P362" s="86" t="str">
        <f t="shared" si="319"/>
        <v>60</v>
      </c>
      <c r="Q362" s="4" t="str">
        <f t="shared" si="320"/>
        <v>1+226,122969799975i</v>
      </c>
      <c r="R362" s="4">
        <f t="shared" si="331"/>
        <v>226.125180975407</v>
      </c>
      <c r="S362" s="4">
        <f t="shared" si="332"/>
        <v>1.56637398313899</v>
      </c>
      <c r="T362" s="4" t="str">
        <f t="shared" si="321"/>
        <v>1+2,71347563759971i</v>
      </c>
      <c r="U362" s="4">
        <f t="shared" si="333"/>
        <v>2.89187655957981</v>
      </c>
      <c r="V362" s="4">
        <f t="shared" si="334"/>
        <v>1.21770909947775</v>
      </c>
      <c r="W362" t="str">
        <f t="shared" si="322"/>
        <v>1-3,78554078906209i</v>
      </c>
      <c r="X362" s="4">
        <f t="shared" si="335"/>
        <v>3.91539513531557</v>
      </c>
      <c r="Y362" s="4">
        <f t="shared" si="336"/>
        <v>-1.31253279024486</v>
      </c>
      <c r="Z362" t="str">
        <f t="shared" si="323"/>
        <v>0,993807529999762+1,01006616039348i</v>
      </c>
      <c r="AA362" s="4">
        <f t="shared" si="337"/>
        <v>1.41699931371058</v>
      </c>
      <c r="AB362" s="4">
        <f t="shared" si="338"/>
        <v>0.793511585772538</v>
      </c>
      <c r="AC362" s="67" t="str">
        <f t="shared" si="339"/>
        <v>-1,63943626289785-1,3445180021654i</v>
      </c>
      <c r="AD362" s="68">
        <f t="shared" si="340"/>
        <v>6.52776061969711</v>
      </c>
      <c r="AE362" s="31">
        <f t="shared" si="341"/>
        <v>-140.644480511269</v>
      </c>
      <c r="AF362" s="32" t="str">
        <f t="shared" si="342"/>
        <v>326,048966736478</v>
      </c>
      <c r="AG362" s="32" t="str">
        <f t="shared" si="324"/>
        <v>1+145,364766299984i</v>
      </c>
      <c r="AH362" s="32">
        <f t="shared" si="343"/>
        <v>145.368205882335</v>
      </c>
      <c r="AI362" s="32">
        <f t="shared" si="344"/>
        <v>1.56391718922102</v>
      </c>
      <c r="AJ362" s="32" t="str">
        <f t="shared" si="325"/>
        <v>1+2,71347563759971i</v>
      </c>
      <c r="AK362" s="32">
        <f t="shared" si="345"/>
        <v>2.89187655957981</v>
      </c>
      <c r="AL362" s="32">
        <f t="shared" si="346"/>
        <v>1.21770909947775</v>
      </c>
      <c r="AM362" s="32" t="str">
        <f t="shared" si="326"/>
        <v>1-0,447817940917274i</v>
      </c>
      <c r="AN362" s="32">
        <f t="shared" si="347"/>
        <v>1.09569197688373</v>
      </c>
      <c r="AO362" s="32">
        <f t="shared" si="348"/>
        <v>-0.421037843019349</v>
      </c>
      <c r="AP362" s="30" t="str">
        <f t="shared" si="349"/>
        <v>5,11574213827353-4,93330939925553i</v>
      </c>
      <c r="AQ362" s="32">
        <f t="shared" si="350"/>
        <v>17.0336326084123</v>
      </c>
      <c r="AR362" s="31">
        <f t="shared" si="351"/>
        <v>-43.959953795876</v>
      </c>
      <c r="AS362" t="str">
        <f t="shared" si="327"/>
        <v>-0,000100699300699301</v>
      </c>
      <c r="AT362" t="str">
        <f t="shared" si="328"/>
        <v>0,0388850749852457i</v>
      </c>
      <c r="AU362">
        <f t="shared" si="352"/>
        <v>0.0388850749852457</v>
      </c>
      <c r="AV362">
        <f t="shared" si="353"/>
        <v>1.5707963267949</v>
      </c>
      <c r="AW362" t="str">
        <f t="shared" si="329"/>
        <v>1+1,99084451695096i</v>
      </c>
      <c r="AX362">
        <f t="shared" si="354"/>
        <v>2.22788282696234</v>
      </c>
      <c r="AY362">
        <f t="shared" si="355"/>
        <v>1.10531089277553</v>
      </c>
      <c r="AZ362" t="str">
        <f t="shared" si="330"/>
        <v>1+95,1793112678468i</v>
      </c>
      <c r="BA362">
        <f t="shared" si="356"/>
        <v>95.1845643653511</v>
      </c>
      <c r="BB362">
        <f t="shared" si="357"/>
        <v>1.56029022842427</v>
      </c>
      <c r="BC362" s="30" t="str">
        <f t="shared" si="358"/>
        <v>-0,0486206755070706+0,0993858698061995i</v>
      </c>
      <c r="BD362" s="32">
        <f t="shared" si="359"/>
        <v>-19.121646108335</v>
      </c>
      <c r="BE362" s="31">
        <f t="shared" si="360"/>
        <v>116.068395698339</v>
      </c>
      <c r="BF362" s="30" t="str">
        <f t="shared" si="361"/>
        <v>0,213336589668183-0,0975654254832292i</v>
      </c>
      <c r="BG362" s="68">
        <f t="shared" si="362"/>
        <v>-12.5938854886379</v>
      </c>
      <c r="BH362" s="31">
        <f t="shared" si="363"/>
        <v>-24.5760848129298</v>
      </c>
      <c r="BI362" s="30" t="str">
        <f t="shared" si="316"/>
        <v>0,241570407185266+0,748293317593726i</v>
      </c>
      <c r="BJ362" s="68">
        <f t="shared" si="364"/>
        <v>-2.08801349992271</v>
      </c>
      <c r="BK362" s="31">
        <f t="shared" si="317"/>
        <v>72.1084419024629</v>
      </c>
      <c r="BL362" s="32">
        <f t="shared" si="365"/>
        <v>-12.5938854886379</v>
      </c>
      <c r="BM362" s="31">
        <f t="shared" si="366"/>
        <v>-24.5760848129298</v>
      </c>
      <c r="BO362">
        <f t="shared" si="367"/>
        <v>0</v>
      </c>
      <c r="BP362">
        <f t="shared" si="368"/>
        <v>0</v>
      </c>
    </row>
    <row r="363" spans="14:68">
      <c r="N363" s="7">
        <v>45</v>
      </c>
      <c r="O363" s="18">
        <f t="shared" si="318"/>
        <v>28183.8293126446</v>
      </c>
      <c r="P363" s="86" t="str">
        <f t="shared" si="319"/>
        <v>60</v>
      </c>
      <c r="Q363" s="4" t="str">
        <f t="shared" si="320"/>
        <v>1+231,390050390027i</v>
      </c>
      <c r="R363" s="4">
        <f t="shared" si="331"/>
        <v>231.392211233436</v>
      </c>
      <c r="S363" s="4">
        <f t="shared" si="332"/>
        <v>1.56647464670249</v>
      </c>
      <c r="T363" s="4" t="str">
        <f t="shared" si="321"/>
        <v>1+2,77668060468033i</v>
      </c>
      <c r="U363" s="4">
        <f t="shared" si="333"/>
        <v>2.95126331939526</v>
      </c>
      <c r="V363" s="4">
        <f t="shared" si="334"/>
        <v>1.22511482254968</v>
      </c>
      <c r="W363" t="str">
        <f t="shared" si="322"/>
        <v>1-3,87371736144019i</v>
      </c>
      <c r="X363" s="4">
        <f t="shared" si="335"/>
        <v>4.00071071140156</v>
      </c>
      <c r="Y363" s="4">
        <f t="shared" si="336"/>
        <v>-1.31816193945519</v>
      </c>
      <c r="Z363" t="str">
        <f t="shared" si="323"/>
        <v>0,993515687879802+1,03359362367057i</v>
      </c>
      <c r="AA363" s="4">
        <f t="shared" si="337"/>
        <v>1.43366286167834</v>
      </c>
      <c r="AB363" s="4">
        <f t="shared" si="338"/>
        <v>0.805166566977781</v>
      </c>
      <c r="AC363" s="67" t="str">
        <f t="shared" si="339"/>
        <v>-1,66465929392439-1,3376438026069i</v>
      </c>
      <c r="AD363" s="68">
        <f t="shared" si="340"/>
        <v>6.59001175925859</v>
      </c>
      <c r="AE363" s="31">
        <f t="shared" si="341"/>
        <v>-141.21623915771</v>
      </c>
      <c r="AF363" s="32" t="str">
        <f t="shared" si="342"/>
        <v>326,048966736478</v>
      </c>
      <c r="AG363" s="32" t="str">
        <f t="shared" si="324"/>
        <v>1+148,750746679304i</v>
      </c>
      <c r="AH363" s="32">
        <f t="shared" si="343"/>
        <v>148.754107968992</v>
      </c>
      <c r="AI363" s="32">
        <f t="shared" si="344"/>
        <v>1.56407377273696</v>
      </c>
      <c r="AJ363" s="32" t="str">
        <f t="shared" si="325"/>
        <v>1+2,77668060468033i</v>
      </c>
      <c r="AK363" s="32">
        <f t="shared" si="345"/>
        <v>2.95126331939526</v>
      </c>
      <c r="AL363" s="32">
        <f t="shared" si="346"/>
        <v>1.22511482254968</v>
      </c>
      <c r="AM363" s="32" t="str">
        <f t="shared" si="326"/>
        <v>1-0,458248960758243i</v>
      </c>
      <c r="AN363" s="32">
        <f t="shared" si="347"/>
        <v>1.09999641364689</v>
      </c>
      <c r="AO363" s="32">
        <f t="shared" si="348"/>
        <v>-0.429692551469269</v>
      </c>
      <c r="AP363" s="30" t="str">
        <f t="shared" si="349"/>
        <v>5,11505860320009-4,9465445844603i</v>
      </c>
      <c r="AQ363" s="32">
        <f t="shared" si="350"/>
        <v>17.0442617921085</v>
      </c>
      <c r="AR363" s="31">
        <f t="shared" si="351"/>
        <v>-44.0404869613133</v>
      </c>
      <c r="AS363" t="str">
        <f t="shared" si="327"/>
        <v>-0,000100699300699301</v>
      </c>
      <c r="AT363" t="str">
        <f t="shared" si="328"/>
        <v>0,0397908247367137i</v>
      </c>
      <c r="AU363">
        <f t="shared" si="352"/>
        <v>0.0397908247367137</v>
      </c>
      <c r="AV363">
        <f t="shared" si="353"/>
        <v>1.5707963267949</v>
      </c>
      <c r="AW363" t="str">
        <f t="shared" si="329"/>
        <v>1+2,03721724291648i</v>
      </c>
      <c r="AX363">
        <f t="shared" si="354"/>
        <v>2.26941712667289</v>
      </c>
      <c r="AY363">
        <f t="shared" si="355"/>
        <v>1.11448285043863</v>
      </c>
      <c r="AZ363" t="str">
        <f t="shared" si="330"/>
        <v>1+97,3963222304962i</v>
      </c>
      <c r="BA363">
        <f t="shared" si="356"/>
        <v>97.4014557592783</v>
      </c>
      <c r="BB363">
        <f t="shared" si="357"/>
        <v>1.56052935941893</v>
      </c>
      <c r="BC363" s="30" t="str">
        <f t="shared" si="358"/>
        <v>-0,0468572745216817+0,0979891642119026i</v>
      </c>
      <c r="BD363" s="32">
        <f t="shared" si="359"/>
        <v>-19.2821073261745</v>
      </c>
      <c r="BE363" s="31">
        <f t="shared" si="360"/>
        <v>115.556582431115</v>
      </c>
      <c r="BF363" s="30" t="str">
        <f t="shared" si="361"/>
        <v>0,209075995751165-0,100440230038249i</v>
      </c>
      <c r="BG363" s="68">
        <f t="shared" si="362"/>
        <v>-12.6920955669159</v>
      </c>
      <c r="BH363" s="31">
        <f t="shared" si="363"/>
        <v>-25.6596567265943</v>
      </c>
      <c r="BI363" s="30" t="str">
        <f t="shared" si="316"/>
        <v>0,245030064403541+0,733001914950273i</v>
      </c>
      <c r="BJ363" s="68">
        <f t="shared" si="364"/>
        <v>-2.23784553406595</v>
      </c>
      <c r="BK363" s="31">
        <f t="shared" si="317"/>
        <v>71.5160954698021</v>
      </c>
      <c r="BL363" s="32">
        <f t="shared" si="365"/>
        <v>-12.6920955669159</v>
      </c>
      <c r="BM363" s="31">
        <f t="shared" si="366"/>
        <v>-25.6596567265943</v>
      </c>
      <c r="BO363">
        <f t="shared" si="367"/>
        <v>0</v>
      </c>
      <c r="BP363">
        <f t="shared" si="368"/>
        <v>0</v>
      </c>
    </row>
    <row r="364" spans="14:68">
      <c r="N364" s="7">
        <v>46</v>
      </c>
      <c r="O364" s="18">
        <f t="shared" si="318"/>
        <v>28840.3150312661</v>
      </c>
      <c r="P364" s="86" t="str">
        <f t="shared" si="319"/>
        <v>60</v>
      </c>
      <c r="Q364" s="4" t="str">
        <f t="shared" si="320"/>
        <v>1+236,779817047606i</v>
      </c>
      <c r="R364" s="4">
        <f t="shared" si="331"/>
        <v>236.781928704658</v>
      </c>
      <c r="S364" s="4">
        <f t="shared" si="332"/>
        <v>1.56657301896816</v>
      </c>
      <c r="T364" s="4" t="str">
        <f t="shared" si="321"/>
        <v>1+2,84135780457127i</v>
      </c>
      <c r="U364" s="4">
        <f t="shared" si="333"/>
        <v>3.0121942456618</v>
      </c>
      <c r="V364" s="4">
        <f t="shared" si="334"/>
        <v>1.2323903436781</v>
      </c>
      <c r="W364" t="str">
        <f t="shared" si="322"/>
        <v>1-3,96394783003804i</v>
      </c>
      <c r="X364" s="4">
        <f t="shared" si="335"/>
        <v>4.08813923432939</v>
      </c>
      <c r="Y364" s="4">
        <f t="shared" si="336"/>
        <v>-1.32367880739596</v>
      </c>
      <c r="Z364" t="str">
        <f t="shared" si="323"/>
        <v>0,993210091664468+1,05766911196817i</v>
      </c>
      <c r="AA364" s="4">
        <f t="shared" si="337"/>
        <v>1.45090669465534</v>
      </c>
      <c r="AB364" s="4">
        <f t="shared" si="338"/>
        <v>0.816817765129177</v>
      </c>
      <c r="AC364" s="67" t="str">
        <f t="shared" si="339"/>
        <v>-1,68984852362229-1,33032052179104i</v>
      </c>
      <c r="AD364" s="68">
        <f t="shared" si="340"/>
        <v>6.65143730346363</v>
      </c>
      <c r="AE364" s="31">
        <f t="shared" si="341"/>
        <v>-141.78867654842</v>
      </c>
      <c r="AF364" s="32" t="str">
        <f t="shared" si="342"/>
        <v>326,048966736478</v>
      </c>
      <c r="AG364" s="32" t="str">
        <f t="shared" si="324"/>
        <v>1+152,215596673461i</v>
      </c>
      <c r="AH364" s="32">
        <f t="shared" si="343"/>
        <v>152.218881452525</v>
      </c>
      <c r="AI364" s="32">
        <f t="shared" si="344"/>
        <v>1.56422679229547</v>
      </c>
      <c r="AJ364" s="32" t="str">
        <f t="shared" si="325"/>
        <v>1+2,84135780457127i</v>
      </c>
      <c r="AK364" s="32">
        <f t="shared" si="345"/>
        <v>3.0121942456618</v>
      </c>
      <c r="AL364" s="32">
        <f t="shared" si="346"/>
        <v>1.2323903436781</v>
      </c>
      <c r="AM364" s="32" t="str">
        <f t="shared" si="326"/>
        <v>1-0,468922950263849i</v>
      </c>
      <c r="AN364" s="32">
        <f t="shared" si="347"/>
        <v>1.10448573249461</v>
      </c>
      <c r="AO364" s="32">
        <f t="shared" si="348"/>
        <v>-0.438478344724703</v>
      </c>
      <c r="AP364" s="30" t="str">
        <f t="shared" si="349"/>
        <v>5,11440582955469-4,96240207935377i</v>
      </c>
      <c r="AQ364" s="32">
        <f t="shared" si="350"/>
        <v>17.0571477321048</v>
      </c>
      <c r="AR364" s="31">
        <f t="shared" si="351"/>
        <v>-44.1357865549928</v>
      </c>
      <c r="AS364" t="str">
        <f t="shared" si="327"/>
        <v>-0,000100699300699301</v>
      </c>
      <c r="AT364" t="str">
        <f t="shared" si="328"/>
        <v>0,0407176721101507i</v>
      </c>
      <c r="AU364">
        <f t="shared" si="352"/>
        <v>0.0407176721101507</v>
      </c>
      <c r="AV364">
        <f t="shared" si="353"/>
        <v>1.5707963267949</v>
      </c>
      <c r="AW364" t="str">
        <f t="shared" si="329"/>
        <v>1+2,08467012842995i</v>
      </c>
      <c r="AX364">
        <f t="shared" si="354"/>
        <v>2.31210932794454</v>
      </c>
      <c r="AY364">
        <f t="shared" si="355"/>
        <v>1.12352654429443</v>
      </c>
      <c r="AZ364" t="str">
        <f t="shared" si="330"/>
        <v>1+99,664974012385i</v>
      </c>
      <c r="BA364">
        <f t="shared" si="356"/>
        <v>99.6699906937358</v>
      </c>
      <c r="BB364">
        <f t="shared" si="357"/>
        <v>1.56076304826225</v>
      </c>
      <c r="BC364" s="30" t="str">
        <f t="shared" si="358"/>
        <v>-0,0451428473576094+0,0965810558561476i</v>
      </c>
      <c r="BD364" s="32">
        <f t="shared" si="359"/>
        <v>-19.4440086851575</v>
      </c>
      <c r="BE364" s="31">
        <f t="shared" si="360"/>
        <v>115.051806326411</v>
      </c>
      <c r="BF364" s="30" t="str">
        <f t="shared" si="361"/>
        <v>0,204768334581042-0,103152898396485i</v>
      </c>
      <c r="BG364" s="68">
        <f t="shared" si="362"/>
        <v>-12.7925713816939</v>
      </c>
      <c r="BH364" s="31">
        <f t="shared" si="363"/>
        <v>-26.7368702220087</v>
      </c>
      <c r="BI364" s="30" t="str">
        <f t="shared" si="316"/>
        <v>0,248395190718274+0,717971674690579i</v>
      </c>
      <c r="BJ364" s="68">
        <f t="shared" si="364"/>
        <v>-2.38686095305272</v>
      </c>
      <c r="BK364" s="31">
        <f t="shared" si="317"/>
        <v>70.9160197714185</v>
      </c>
      <c r="BL364" s="32">
        <f t="shared" si="365"/>
        <v>-12.7925713816939</v>
      </c>
      <c r="BM364" s="31">
        <f t="shared" si="366"/>
        <v>-26.7368702220087</v>
      </c>
      <c r="BO364">
        <f t="shared" si="367"/>
        <v>0</v>
      </c>
      <c r="BP364">
        <f t="shared" si="368"/>
        <v>0</v>
      </c>
    </row>
    <row r="365" spans="14:68">
      <c r="N365" s="7">
        <v>47</v>
      </c>
      <c r="O365" s="18">
        <f t="shared" si="318"/>
        <v>29512.0922666639</v>
      </c>
      <c r="P365" s="86" t="str">
        <f t="shared" si="319"/>
        <v>60</v>
      </c>
      <c r="Q365" s="4" t="str">
        <f t="shared" si="320"/>
        <v>1+242,295127498334i</v>
      </c>
      <c r="R365" s="4">
        <f t="shared" si="331"/>
        <v>242.297191088617</v>
      </c>
      <c r="S365" s="4">
        <f t="shared" si="332"/>
        <v>1.56666915208667</v>
      </c>
      <c r="T365" s="4" t="str">
        <f t="shared" si="321"/>
        <v>1+2,90754152998001i</v>
      </c>
      <c r="U365" s="4">
        <f t="shared" si="333"/>
        <v>3.07470287158914</v>
      </c>
      <c r="V365" s="4">
        <f t="shared" si="334"/>
        <v>1.2395364385532</v>
      </c>
      <c r="W365" t="str">
        <f t="shared" si="322"/>
        <v>1-4,05628003624443i</v>
      </c>
      <c r="X365" s="4">
        <f t="shared" si="335"/>
        <v>4.17772757996918</v>
      </c>
      <c r="Y365" s="4">
        <f t="shared" si="336"/>
        <v>-1.3290849753327</v>
      </c>
      <c r="Z365" t="str">
        <f t="shared" si="323"/>
        <v>0,992890093143216+1,08230539042884i</v>
      </c>
      <c r="AA365" s="4">
        <f t="shared" si="337"/>
        <v>1.46874630049347</v>
      </c>
      <c r="AB365" s="4">
        <f t="shared" si="338"/>
        <v>0.82845917862432</v>
      </c>
      <c r="AC365" s="67" t="str">
        <f t="shared" si="339"/>
        <v>-1,71497751824873-1,32254734640288i</v>
      </c>
      <c r="AD365" s="68">
        <f t="shared" si="340"/>
        <v>6.71198711781245</v>
      </c>
      <c r="AE365" s="31">
        <f t="shared" si="341"/>
        <v>-142.361497960992</v>
      </c>
      <c r="AF365" s="32" t="str">
        <f t="shared" si="342"/>
        <v>326,048966736478</v>
      </c>
      <c r="AG365" s="32" t="str">
        <f t="shared" si="324"/>
        <v>1+155,761153391786i</v>
      </c>
      <c r="AH365" s="32">
        <f t="shared" si="343"/>
        <v>155.764363401708</v>
      </c>
      <c r="AI365" s="32">
        <f t="shared" si="344"/>
        <v>1.56437632900086</v>
      </c>
      <c r="AJ365" s="32" t="str">
        <f t="shared" si="325"/>
        <v>1+2,90754152998001i</v>
      </c>
      <c r="AK365" s="32">
        <f t="shared" si="345"/>
        <v>3.07470287158914</v>
      </c>
      <c r="AL365" s="32">
        <f t="shared" si="346"/>
        <v>1.2395364385532</v>
      </c>
      <c r="AM365" s="32" t="str">
        <f t="shared" si="326"/>
        <v>1-0,479845568924612i</v>
      </c>
      <c r="AN365" s="32">
        <f t="shared" si="347"/>
        <v>1.10916715152252</v>
      </c>
      <c r="AO365" s="32">
        <f t="shared" si="348"/>
        <v>-0.447394454693075</v>
      </c>
      <c r="AP365" s="30" t="str">
        <f t="shared" si="349"/>
        <v>5,11378243308411-4,98089031940158i</v>
      </c>
      <c r="AQ365" s="32">
        <f t="shared" si="350"/>
        <v>17.072297529467</v>
      </c>
      <c r="AR365" s="31">
        <f t="shared" si="351"/>
        <v>-44.2457687716134</v>
      </c>
      <c r="AS365" t="str">
        <f t="shared" si="327"/>
        <v>-0,000100699300699301</v>
      </c>
      <c r="AT365" t="str">
        <f t="shared" si="328"/>
        <v>0,0416661085323028i</v>
      </c>
      <c r="AU365">
        <f t="shared" si="352"/>
        <v>0.0416661085323028</v>
      </c>
      <c r="AV365">
        <f t="shared" si="353"/>
        <v>1.5707963267949</v>
      </c>
      <c r="AW365" t="str">
        <f t="shared" si="329"/>
        <v>1+2,13322833363939i</v>
      </c>
      <c r="AX365">
        <f t="shared" si="354"/>
        <v>2.35598453378665</v>
      </c>
      <c r="AY365">
        <f t="shared" si="355"/>
        <v>1.13244085109667</v>
      </c>
      <c r="AZ365" t="str">
        <f t="shared" si="330"/>
        <v>1+101,986469482717i</v>
      </c>
      <c r="BA365">
        <f t="shared" si="356"/>
        <v>101.991371976012</v>
      </c>
      <c r="BB365">
        <f t="shared" si="357"/>
        <v>1.560991418757</v>
      </c>
      <c r="BC365" s="30" t="str">
        <f t="shared" si="358"/>
        <v>-0,0434771241942193+0,0951634487868384i</v>
      </c>
      <c r="BD365" s="32">
        <f t="shared" si="359"/>
        <v>-19.6073097475633</v>
      </c>
      <c r="BE365" s="31">
        <f t="shared" si="360"/>
        <v>114.554138834873</v>
      </c>
      <c r="BF365" s="30" t="str">
        <f t="shared" si="361"/>
        <v>0,200420457218774-0,105702619996149i</v>
      </c>
      <c r="BG365" s="68">
        <f t="shared" si="362"/>
        <v>-12.8953226297509</v>
      </c>
      <c r="BH365" s="31">
        <f t="shared" si="363"/>
        <v>-27.8073591261194</v>
      </c>
      <c r="BI365" s="30" t="str">
        <f t="shared" si="316"/>
        <v>0,251666146877817+0,703199959692241i</v>
      </c>
      <c r="BJ365" s="68">
        <f t="shared" si="364"/>
        <v>-2.53501221809634</v>
      </c>
      <c r="BK365" s="31">
        <f t="shared" si="317"/>
        <v>70.3083700632591</v>
      </c>
      <c r="BL365" s="32">
        <f t="shared" si="365"/>
        <v>-12.8953226297509</v>
      </c>
      <c r="BM365" s="31">
        <f t="shared" si="366"/>
        <v>-27.8073591261194</v>
      </c>
      <c r="BO365">
        <f t="shared" si="367"/>
        <v>0</v>
      </c>
      <c r="BP365">
        <f t="shared" si="368"/>
        <v>0</v>
      </c>
    </row>
    <row r="366" spans="14:68">
      <c r="N366" s="7">
        <v>48</v>
      </c>
      <c r="O366" s="18">
        <f t="shared" si="318"/>
        <v>30199.5172040202</v>
      </c>
      <c r="P366" s="86" t="str">
        <f t="shared" si="319"/>
        <v>60</v>
      </c>
      <c r="Q366" s="4" t="str">
        <f t="shared" si="320"/>
        <v>1+247,938906032817i</v>
      </c>
      <c r="R366" s="4">
        <f t="shared" si="331"/>
        <v>247.940922650437</v>
      </c>
      <c r="S366" s="4">
        <f t="shared" si="332"/>
        <v>1.56676309702196</v>
      </c>
      <c r="T366" s="4" t="str">
        <f t="shared" si="321"/>
        <v>1+2,9752668723938i</v>
      </c>
      <c r="U366" s="4">
        <f t="shared" si="333"/>
        <v>3.13882349965142</v>
      </c>
      <c r="V366" s="4">
        <f t="shared" si="334"/>
        <v>1.24655397577949</v>
      </c>
      <c r="W366" t="str">
        <f t="shared" si="322"/>
        <v>1-4,15076293581725i</v>
      </c>
      <c r="X366" s="4">
        <f t="shared" si="335"/>
        <v>4.26952373800102</v>
      </c>
      <c r="Y366" s="4">
        <f t="shared" si="336"/>
        <v>-1.3343820451124</v>
      </c>
      <c r="Z366" t="str">
        <f t="shared" si="323"/>
        <v>0,992555013556278+1,10751552153351i</v>
      </c>
      <c r="AA366" s="4">
        <f t="shared" si="337"/>
        <v>1.48719739287471</v>
      </c>
      <c r="AB366" s="4">
        <f t="shared" si="338"/>
        <v>0.840084842556447</v>
      </c>
      <c r="AC366" s="67" t="str">
        <f t="shared" si="339"/>
        <v>-1,74002008224799-1,31432504218071i</v>
      </c>
      <c r="AD366" s="68">
        <f t="shared" si="340"/>
        <v>6.77161499800474</v>
      </c>
      <c r="AE366" s="31">
        <f t="shared" si="341"/>
        <v>-142.934406563159</v>
      </c>
      <c r="AF366" s="32" t="str">
        <f t="shared" si="342"/>
        <v>326,048966736478</v>
      </c>
      <c r="AG366" s="32" t="str">
        <f t="shared" si="324"/>
        <v>1+159,389296735382i</v>
      </c>
      <c r="AH366" s="32">
        <f t="shared" si="343"/>
        <v>159.392433678013</v>
      </c>
      <c r="AI366" s="32">
        <f t="shared" si="344"/>
        <v>1.56452246211271</v>
      </c>
      <c r="AJ366" s="32" t="str">
        <f t="shared" si="325"/>
        <v>1+2,9752668723938i</v>
      </c>
      <c r="AK366" s="32">
        <f t="shared" si="345"/>
        <v>3.13882349965142</v>
      </c>
      <c r="AL366" s="32">
        <f t="shared" si="346"/>
        <v>1.24655397577949</v>
      </c>
      <c r="AM366" s="32" t="str">
        <f t="shared" si="326"/>
        <v>1-0,491022608057528i</v>
      </c>
      <c r="AN366" s="32">
        <f t="shared" si="347"/>
        <v>1.11404811459093</v>
      </c>
      <c r="AO366" s="32">
        <f t="shared" si="348"/>
        <v>-0.456439937378072</v>
      </c>
      <c r="AP366" s="30" t="str">
        <f t="shared" si="349"/>
        <v>5,11318709181575-5,00201913308263i</v>
      </c>
      <c r="AQ366" s="32">
        <f t="shared" si="350"/>
        <v>17.0897193988676</v>
      </c>
      <c r="AR366" s="31">
        <f t="shared" si="351"/>
        <v>-44.370334298036</v>
      </c>
      <c r="AS366" t="str">
        <f t="shared" si="327"/>
        <v>-0,000100699300699301</v>
      </c>
      <c r="AT366" t="str">
        <f t="shared" si="328"/>
        <v>0,0426366368767147i</v>
      </c>
      <c r="AU366">
        <f t="shared" si="352"/>
        <v>0.0426366368767147</v>
      </c>
      <c r="AV366">
        <f t="shared" si="353"/>
        <v>1.5707963267949</v>
      </c>
      <c r="AW366" t="str">
        <f t="shared" si="329"/>
        <v>1+2,18291760474794i</v>
      </c>
      <c r="AX366">
        <f t="shared" si="354"/>
        <v>2.40106835994282</v>
      </c>
      <c r="AY366">
        <f t="shared" si="355"/>
        <v>1.1412248293323</v>
      </c>
      <c r="AZ366" t="str">
        <f t="shared" si="330"/>
        <v>1+104,362039529119i</v>
      </c>
      <c r="BA366">
        <f t="shared" si="356"/>
        <v>104.366830433224</v>
      </c>
      <c r="BB366">
        <f t="shared" si="357"/>
        <v>1.56121459189292</v>
      </c>
      <c r="BC366" s="30" t="str">
        <f t="shared" si="358"/>
        <v>-0,0418597500095702+0,0937381873775311i</v>
      </c>
      <c r="BD366" s="32">
        <f t="shared" si="359"/>
        <v>-19.7719703330375</v>
      </c>
      <c r="BE366" s="31">
        <f t="shared" si="360"/>
        <v>114.063640833425</v>
      </c>
      <c r="BF366" s="30" t="str">
        <f t="shared" si="361"/>
        <v>0,19603925273345-0,108089010813427i</v>
      </c>
      <c r="BG366" s="68">
        <f t="shared" si="362"/>
        <v>-13.0003553350327</v>
      </c>
      <c r="BH366" s="31">
        <f t="shared" si="363"/>
        <v>-28.8707657297348</v>
      </c>
      <c r="BI366" s="30" t="str">
        <f t="shared" si="316"/>
        <v>0,254843473347327+0,688684160162924i</v>
      </c>
      <c r="BJ366" s="68">
        <f t="shared" si="364"/>
        <v>-2.68225093416989</v>
      </c>
      <c r="BK366" s="31">
        <f t="shared" si="317"/>
        <v>69.6933065353885</v>
      </c>
      <c r="BL366" s="32">
        <f t="shared" si="365"/>
        <v>-13.0003553350327</v>
      </c>
      <c r="BM366" s="31">
        <f t="shared" si="366"/>
        <v>-28.8707657297348</v>
      </c>
      <c r="BO366">
        <f t="shared" si="367"/>
        <v>0</v>
      </c>
      <c r="BP366">
        <f t="shared" si="368"/>
        <v>0</v>
      </c>
    </row>
    <row r="367" spans="14:68">
      <c r="N367" s="7">
        <v>49</v>
      </c>
      <c r="O367" s="18">
        <f t="shared" si="318"/>
        <v>30902.954325136</v>
      </c>
      <c r="P367" s="86" t="str">
        <f t="shared" si="319"/>
        <v>60</v>
      </c>
      <c r="Q367" s="4" t="str">
        <f t="shared" si="320"/>
        <v>1+253,714145057138i</v>
      </c>
      <c r="R367" s="4">
        <f t="shared" si="331"/>
        <v>253.716115771298</v>
      </c>
      <c r="S367" s="4">
        <f t="shared" si="332"/>
        <v>1.56685490357824</v>
      </c>
      <c r="T367" s="4" t="str">
        <f t="shared" si="321"/>
        <v>1+3,04456974068565i</v>
      </c>
      <c r="U367" s="4">
        <f t="shared" si="333"/>
        <v>3.20459122290171</v>
      </c>
      <c r="V367" s="4">
        <f t="shared" si="334"/>
        <v>1.2534439105655</v>
      </c>
      <c r="W367" t="str">
        <f t="shared" si="322"/>
        <v>1-4,24744662484048i</v>
      </c>
      <c r="X367" s="4">
        <f t="shared" si="335"/>
        <v>4.36357683911591</v>
      </c>
      <c r="Y367" s="4">
        <f t="shared" si="336"/>
        <v>-1.33957163575375</v>
      </c>
      <c r="Z367" t="str">
        <f t="shared" si="323"/>
        <v>0,992204142154927+1,13331287202741i</v>
      </c>
      <c r="AA367" s="4">
        <f t="shared" si="337"/>
        <v>1.50627591284346</v>
      </c>
      <c r="AB367" s="4">
        <f t="shared" si="338"/>
        <v>0.851688844547098</v>
      </c>
      <c r="AC367" s="67" t="str">
        <f t="shared" si="339"/>
        <v>-1,76495036790024-1,30565592607813i</v>
      </c>
      <c r="AD367" s="68">
        <f t="shared" si="340"/>
        <v>6.8302786384522</v>
      </c>
      <c r="AE367" s="31">
        <f t="shared" si="341"/>
        <v>-143.507104487682</v>
      </c>
      <c r="AF367" s="32" t="str">
        <f t="shared" si="342"/>
        <v>326,048966736478</v>
      </c>
      <c r="AG367" s="32" t="str">
        <f t="shared" si="324"/>
        <v>1+163,101950393874i</v>
      </c>
      <c r="AH367" s="32">
        <f t="shared" si="343"/>
        <v>163.10501593233</v>
      </c>
      <c r="AI367" s="32">
        <f t="shared" si="344"/>
        <v>1.56466526908775</v>
      </c>
      <c r="AJ367" s="32" t="str">
        <f t="shared" si="325"/>
        <v>1+3,04456974068565i</v>
      </c>
      <c r="AK367" s="32">
        <f t="shared" si="345"/>
        <v>3.20459122290171</v>
      </c>
      <c r="AL367" s="32">
        <f t="shared" si="346"/>
        <v>1.2534439105655</v>
      </c>
      <c r="AM367" s="32" t="str">
        <f t="shared" si="326"/>
        <v>1-0,502459993876687i</v>
      </c>
      <c r="AN367" s="32">
        <f t="shared" si="347"/>
        <v>1.11913629440143</v>
      </c>
      <c r="AO367" s="32">
        <f t="shared" si="348"/>
        <v>-0.465613666970243</v>
      </c>
      <c r="AP367" s="30" t="str">
        <f t="shared" si="349"/>
        <v>5,11261854325646-5,02579974722315i</v>
      </c>
      <c r="AQ367" s="32">
        <f t="shared" si="350"/>
        <v>17.1094226110512</v>
      </c>
      <c r="AR367" s="31">
        <f t="shared" si="351"/>
        <v>-44.5093683386581</v>
      </c>
      <c r="AS367" t="str">
        <f t="shared" si="327"/>
        <v>-0,000100699300699301</v>
      </c>
      <c r="AT367" t="str">
        <f t="shared" si="328"/>
        <v>0,0436297717303614i</v>
      </c>
      <c r="AU367">
        <f t="shared" si="352"/>
        <v>0.0436297717303614</v>
      </c>
      <c r="AV367">
        <f t="shared" si="353"/>
        <v>1.5707963267949</v>
      </c>
      <c r="AW367" t="str">
        <f t="shared" si="329"/>
        <v>1+2,23376428766485i</v>
      </c>
      <c r="AX367">
        <f t="shared" si="354"/>
        <v>2.44738695200552</v>
      </c>
      <c r="AY367">
        <f t="shared" si="355"/>
        <v>1.14987771330791</v>
      </c>
      <c r="AZ367" t="str">
        <f t="shared" si="330"/>
        <v>1+106,792943710275i</v>
      </c>
      <c r="BA367">
        <f t="shared" si="356"/>
        <v>106.797625564925</v>
      </c>
      <c r="BB367">
        <f t="shared" si="357"/>
        <v>1.56143268591036</v>
      </c>
      <c r="BC367" s="30" t="str">
        <f t="shared" si="358"/>
        <v>-0,0402902905695639+0,0923070531847081i</v>
      </c>
      <c r="BD367" s="32">
        <f t="shared" si="359"/>
        <v>-19.9379505868113</v>
      </c>
      <c r="BE367" s="31">
        <f t="shared" si="360"/>
        <v>113.580362967743</v>
      </c>
      <c r="BF367" s="30" t="str">
        <f t="shared" si="361"/>
        <v>0,191631614172983-0,110312110832577i</v>
      </c>
      <c r="BG367" s="68">
        <f t="shared" si="362"/>
        <v>-13.1076719483591</v>
      </c>
      <c r="BH367" s="31">
        <f t="shared" si="363"/>
        <v>-29.9267415199397</v>
      </c>
      <c r="BI367" s="30" t="str">
        <f t="shared" si="316"/>
        <v>0,257927877883477+0,67442168394556i</v>
      </c>
      <c r="BJ367" s="68">
        <f t="shared" si="364"/>
        <v>-2.82852797576009</v>
      </c>
      <c r="BK367" s="31">
        <f t="shared" si="317"/>
        <v>69.0709946290846</v>
      </c>
      <c r="BL367" s="32">
        <f t="shared" si="365"/>
        <v>-13.1076719483591</v>
      </c>
      <c r="BM367" s="31">
        <f t="shared" si="366"/>
        <v>-29.9267415199397</v>
      </c>
      <c r="BO367">
        <f t="shared" si="367"/>
        <v>0</v>
      </c>
      <c r="BP367">
        <f t="shared" si="368"/>
        <v>0</v>
      </c>
    </row>
    <row r="368" spans="14:68">
      <c r="N368" s="7">
        <v>50</v>
      </c>
      <c r="O368" s="18">
        <f t="shared" si="318"/>
        <v>31622.7766016838</v>
      </c>
      <c r="P368" s="86" t="str">
        <f t="shared" si="319"/>
        <v>60</v>
      </c>
      <c r="Q368" s="4" t="str">
        <f t="shared" si="320"/>
        <v>1+259,623906679471i</v>
      </c>
      <c r="R368" s="4">
        <f t="shared" si="331"/>
        <v>259.625832535036</v>
      </c>
      <c r="S368" s="4">
        <f t="shared" si="332"/>
        <v>1.56694462042636</v>
      </c>
      <c r="T368" s="4" t="str">
        <f t="shared" si="321"/>
        <v>1+3,11548688015366i</v>
      </c>
      <c r="U368" s="4">
        <f t="shared" si="333"/>
        <v>3.27204194661523</v>
      </c>
      <c r="V368" s="4">
        <f t="shared" si="334"/>
        <v>1.26020727857623</v>
      </c>
      <c r="W368" t="str">
        <f t="shared" si="322"/>
        <v>1-4,3463823662858i</v>
      </c>
      <c r="X368" s="4">
        <f t="shared" si="335"/>
        <v>4.45993718273701</v>
      </c>
      <c r="Y368" s="4">
        <f t="shared" si="336"/>
        <v>-1.34465538023245</v>
      </c>
      <c r="Z368" t="str">
        <f t="shared" si="323"/>
        <v>0,991836734693878+1,15971112000722i</v>
      </c>
      <c r="AA368" s="4">
        <f t="shared" si="337"/>
        <v>1.52599803084952</v>
      </c>
      <c r="AB368" s="4">
        <f t="shared" si="338"/>
        <v>0.863265340255601</v>
      </c>
      <c r="AC368" s="67" t="str">
        <f t="shared" si="339"/>
        <v>-1,78974298181931-1,29654382913631i</v>
      </c>
      <c r="AD368" s="68">
        <f t="shared" si="340"/>
        <v>6.88793958731635</v>
      </c>
      <c r="AE368" s="31">
        <f t="shared" si="341"/>
        <v>-144.079293890524</v>
      </c>
      <c r="AF368" s="32" t="str">
        <f t="shared" si="342"/>
        <v>326,048966736478</v>
      </c>
      <c r="AG368" s="32" t="str">
        <f t="shared" si="324"/>
        <v>1+166,901082865375i</v>
      </c>
      <c r="AH368" s="32">
        <f t="shared" si="343"/>
        <v>166.904078624924</v>
      </c>
      <c r="AI368" s="32">
        <f t="shared" si="344"/>
        <v>1.56480482562082</v>
      </c>
      <c r="AJ368" s="32" t="str">
        <f t="shared" si="325"/>
        <v>1+3,11548688015366i</v>
      </c>
      <c r="AK368" s="32">
        <f t="shared" si="345"/>
        <v>3.27204194661523</v>
      </c>
      <c r="AL368" s="32">
        <f t="shared" si="346"/>
        <v>1.26020727857623</v>
      </c>
      <c r="AM368" s="32" t="str">
        <f t="shared" si="326"/>
        <v>1-0,514163790635444i</v>
      </c>
      <c r="AN368" s="32">
        <f t="shared" si="347"/>
        <v>1.12443959535433</v>
      </c>
      <c r="AO368" s="32">
        <f t="shared" si="348"/>
        <v>-0.474914330262655</v>
      </c>
      <c r="AP368" s="30" t="str">
        <f t="shared" si="349"/>
        <v>5,11207558171707-5,05224479306406i</v>
      </c>
      <c r="AQ368" s="32">
        <f t="shared" si="350"/>
        <v>17.1314174273561</v>
      </c>
      <c r="AR368" s="31">
        <f t="shared" si="351"/>
        <v>-44.6627406500249</v>
      </c>
      <c r="AS368" t="str">
        <f t="shared" si="327"/>
        <v>-0,000100699300699301</v>
      </c>
      <c r="AT368" t="str">
        <f t="shared" si="328"/>
        <v>0,0446460396664877i</v>
      </c>
      <c r="AU368">
        <f t="shared" si="352"/>
        <v>0.0446460396664877</v>
      </c>
      <c r="AV368">
        <f t="shared" si="353"/>
        <v>1.5707963267949</v>
      </c>
      <c r="AW368" t="str">
        <f t="shared" si="329"/>
        <v>1+2,28579534197445i</v>
      </c>
      <c r="AX368">
        <f t="shared" si="354"/>
        <v>2.49496700286639</v>
      </c>
      <c r="AY368">
        <f t="shared" si="355"/>
        <v>1.15839890696319</v>
      </c>
      <c r="AZ368" t="str">
        <f t="shared" si="330"/>
        <v>1+109,280470923757i</v>
      </c>
      <c r="BA368">
        <f t="shared" si="356"/>
        <v>109.285046210898</v>
      </c>
      <c r="BB368">
        <f t="shared" si="357"/>
        <v>1.56164581636263</v>
      </c>
      <c r="BC368" s="30" t="str">
        <f t="shared" si="358"/>
        <v>-0,0387682384162718+0,0908717623326027i</v>
      </c>
      <c r="BD368" s="32">
        <f t="shared" si="359"/>
        <v>-20.1052110429504</v>
      </c>
      <c r="BE368" s="31">
        <f t="shared" si="360"/>
        <v>113.104346010282</v>
      </c>
      <c r="BF368" s="30" t="str">
        <f t="shared" si="361"/>
        <v>0,187204405318098-0,112372378595226i</v>
      </c>
      <c r="BG368" s="68">
        <f t="shared" si="362"/>
        <v>-13.217271455634</v>
      </c>
      <c r="BH368" s="31">
        <f t="shared" si="363"/>
        <v>-30.9749478802411</v>
      </c>
      <c r="BI368" s="30" t="str">
        <f t="shared" si="316"/>
        <v>0,260920223127438+0,660409947962971i</v>
      </c>
      <c r="BJ368" s="68">
        <f t="shared" si="364"/>
        <v>-2.97379361559425</v>
      </c>
      <c r="BK368" s="31">
        <f t="shared" si="317"/>
        <v>68.4416053602576</v>
      </c>
      <c r="BL368" s="32">
        <f t="shared" si="365"/>
        <v>-13.217271455634</v>
      </c>
      <c r="BM368" s="31">
        <f t="shared" si="366"/>
        <v>-30.9749478802411</v>
      </c>
      <c r="BO368">
        <f t="shared" si="367"/>
        <v>0</v>
      </c>
      <c r="BP368">
        <f t="shared" si="368"/>
        <v>0</v>
      </c>
    </row>
    <row r="369" spans="14:68">
      <c r="N369" s="7">
        <v>51</v>
      </c>
      <c r="O369" s="18">
        <f t="shared" si="318"/>
        <v>32359.3656929629</v>
      </c>
      <c r="P369" s="86" t="str">
        <f t="shared" si="319"/>
        <v>60</v>
      </c>
      <c r="Q369" s="4" t="str">
        <f t="shared" si="320"/>
        <v>1+265,671324333657i</v>
      </c>
      <c r="R369" s="4">
        <f t="shared" si="331"/>
        <v>265.673206351712</v>
      </c>
      <c r="S369" s="4">
        <f t="shared" si="332"/>
        <v>1.56703229512961</v>
      </c>
      <c r="T369" s="4" t="str">
        <f t="shared" si="321"/>
        <v>1+3,18805589200388i</v>
      </c>
      <c r="U369" s="4">
        <f t="shared" si="333"/>
        <v>3.34121241026976</v>
      </c>
      <c r="V369" s="4">
        <f t="shared" si="334"/>
        <v>1.2668451899616</v>
      </c>
      <c r="W369" t="str">
        <f t="shared" si="322"/>
        <v>1-4,44762261719291i</v>
      </c>
      <c r="X369" s="4">
        <f t="shared" si="335"/>
        <v>4.55865626527883</v>
      </c>
      <c r="Y369" s="4">
        <f t="shared" si="336"/>
        <v>-1.34963492245625</v>
      </c>
      <c r="Z369" t="str">
        <f t="shared" si="323"/>
        <v>0,991452011852646+1,18672426217346i</v>
      </c>
      <c r="AA369" s="4">
        <f t="shared" si="337"/>
        <v>1.54638014932868</v>
      </c>
      <c r="AB369" s="4">
        <f t="shared" si="338"/>
        <v>0.874808568469471</v>
      </c>
      <c r="AC369" s="67" t="str">
        <f t="shared" si="339"/>
        <v>-1,81437308738611-1,28699405048334i</v>
      </c>
      <c r="AD369" s="68">
        <f t="shared" si="340"/>
        <v>6.94456318870964</v>
      </c>
      <c r="AE369" s="31">
        <f t="shared" si="341"/>
        <v>-144.650677985768</v>
      </c>
      <c r="AF369" s="32" t="str">
        <f t="shared" si="342"/>
        <v>326,048966736478</v>
      </c>
      <c r="AG369" s="32" t="str">
        <f t="shared" si="324"/>
        <v>1+170,788708500208i</v>
      </c>
      <c r="AH369" s="32">
        <f t="shared" si="343"/>
        <v>170.791636069127</v>
      </c>
      <c r="AI369" s="32">
        <f t="shared" si="344"/>
        <v>1.56494120568488</v>
      </c>
      <c r="AJ369" s="32" t="str">
        <f t="shared" si="325"/>
        <v>1+3,18805589200388i</v>
      </c>
      <c r="AK369" s="32">
        <f t="shared" si="345"/>
        <v>3.34121241026976</v>
      </c>
      <c r="AL369" s="32">
        <f t="shared" si="346"/>
        <v>1.2668451899616</v>
      </c>
      <c r="AM369" s="32" t="str">
        <f t="shared" si="326"/>
        <v>1-0,52614020384176i</v>
      </c>
      <c r="AN369" s="32">
        <f t="shared" si="347"/>
        <v>1.129966156174</v>
      </c>
      <c r="AO369" s="32">
        <f t="shared" si="348"/>
        <v>-0.4843404214445</v>
      </c>
      <c r="AP369" s="30" t="str">
        <f t="shared" si="349"/>
        <v>5,11155705575748-5,08136831306539i</v>
      </c>
      <c r="AQ369" s="32">
        <f t="shared" si="350"/>
        <v>17.155715026557</v>
      </c>
      <c r="AR369" s="31">
        <f t="shared" si="351"/>
        <v>-44.8303055869665</v>
      </c>
      <c r="AS369" t="str">
        <f t="shared" si="327"/>
        <v>-0,000100699300699301</v>
      </c>
      <c r="AT369" t="str">
        <f t="shared" si="328"/>
        <v>0,0456859795238055i</v>
      </c>
      <c r="AU369">
        <f t="shared" si="352"/>
        <v>0.0456859795238055</v>
      </c>
      <c r="AV369">
        <f t="shared" si="353"/>
        <v>1.5707963267949</v>
      </c>
      <c r="AW369" t="str">
        <f t="shared" si="329"/>
        <v>1+2,33903835523045i</v>
      </c>
      <c r="AX369">
        <f t="shared" si="354"/>
        <v>2.54383577049289</v>
      </c>
      <c r="AY369">
        <f t="shared" si="355"/>
        <v>1.16678797746061</v>
      </c>
      <c r="AZ369" t="str">
        <f t="shared" si="330"/>
        <v>1+111,825940089422i</v>
      </c>
      <c r="BA369">
        <f t="shared" si="356"/>
        <v>111.830411234525</v>
      </c>
      <c r="BB369">
        <f t="shared" si="357"/>
        <v>1.56185409617683</v>
      </c>
      <c r="BC369" s="30" t="str">
        <f t="shared" si="358"/>
        <v>-0,0372930188136668+0,0894339634028226i</v>
      </c>
      <c r="BD369" s="32">
        <f t="shared" si="359"/>
        <v>-20.2737126826512</v>
      </c>
      <c r="BE369" s="31">
        <f t="shared" si="360"/>
        <v>112.635621231054</v>
      </c>
      <c r="BF369" s="30" t="str">
        <f t="shared" si="361"/>
        <v>0,182764428493478-0,114270682958603i</v>
      </c>
      <c r="BG369" s="68">
        <f t="shared" si="362"/>
        <v>-13.3291494939416</v>
      </c>
      <c r="BH369" s="31">
        <f t="shared" si="363"/>
        <v>-32.0150567547143</v>
      </c>
      <c r="BI369" s="30" t="str">
        <f t="shared" si="316"/>
        <v>0,263821514299458+0,646646370754372i</v>
      </c>
      <c r="BJ369" s="68">
        <f t="shared" si="364"/>
        <v>-3.11799765609426</v>
      </c>
      <c r="BK369" s="31">
        <f t="shared" si="317"/>
        <v>67.8053156440871</v>
      </c>
      <c r="BL369" s="32">
        <f t="shared" si="365"/>
        <v>-13.3291494939416</v>
      </c>
      <c r="BM369" s="31">
        <f t="shared" si="366"/>
        <v>-32.0150567547143</v>
      </c>
      <c r="BO369">
        <f t="shared" si="367"/>
        <v>0</v>
      </c>
      <c r="BP369">
        <f t="shared" si="368"/>
        <v>0</v>
      </c>
    </row>
    <row r="370" spans="14:68">
      <c r="N370" s="7">
        <v>52</v>
      </c>
      <c r="O370" s="18">
        <f t="shared" si="318"/>
        <v>33113.1121482591</v>
      </c>
      <c r="P370" s="86" t="str">
        <f t="shared" si="319"/>
        <v>60</v>
      </c>
      <c r="Q370" s="4" t="str">
        <f t="shared" si="320"/>
        <v>1+271,859604440576i</v>
      </c>
      <c r="R370" s="4">
        <f t="shared" si="331"/>
        <v>271.861443618963</v>
      </c>
      <c r="S370" s="4">
        <f t="shared" si="332"/>
        <v>1.56711797416887</v>
      </c>
      <c r="T370" s="4" t="str">
        <f t="shared" si="321"/>
        <v>1+3,26231525328692i</v>
      </c>
      <c r="U370" s="4">
        <f t="shared" si="333"/>
        <v>3.41214020987246</v>
      </c>
      <c r="V370" s="4">
        <f t="shared" si="334"/>
        <v>1.27335882357151</v>
      </c>
      <c r="W370" t="str">
        <f t="shared" si="322"/>
        <v>1-4,55122105648287i</v>
      </c>
      <c r="X370" s="4">
        <f t="shared" si="335"/>
        <v>4.65978680896166</v>
      </c>
      <c r="Y370" s="4">
        <f t="shared" si="336"/>
        <v>-1.35451191442393</v>
      </c>
      <c r="Z370" t="str">
        <f t="shared" si="323"/>
        <v>0,991049157582505+1,21436662125164i</v>
      </c>
      <c r="AA370" s="4">
        <f t="shared" si="337"/>
        <v>1.56743890584454</v>
      </c>
      <c r="AB370" s="4">
        <f t="shared" si="338"/>
        <v>0.8863128656845</v>
      </c>
      <c r="AC370" s="67" t="str">
        <f t="shared" si="339"/>
        <v>-1,83881650226608-1,27701330297825i</v>
      </c>
      <c r="AD370" s="68">
        <f t="shared" si="340"/>
        <v>7.0001185127724</v>
      </c>
      <c r="AE370" s="31">
        <f t="shared" si="341"/>
        <v>-145.220962051121</v>
      </c>
      <c r="AF370" s="32" t="str">
        <f t="shared" si="342"/>
        <v>326,048966736478</v>
      </c>
      <c r="AG370" s="32" t="str">
        <f t="shared" si="324"/>
        <v>1+174,766888568942i</v>
      </c>
      <c r="AH370" s="32">
        <f t="shared" si="343"/>
        <v>174.76974949936</v>
      </c>
      <c r="AI370" s="32">
        <f t="shared" si="344"/>
        <v>1.56507448157013</v>
      </c>
      <c r="AJ370" s="32" t="str">
        <f t="shared" si="325"/>
        <v>1+3,26231525328692i</v>
      </c>
      <c r="AK370" s="32">
        <f t="shared" si="345"/>
        <v>3.41214020987246</v>
      </c>
      <c r="AL370" s="32">
        <f t="shared" si="346"/>
        <v>1.27335882357151</v>
      </c>
      <c r="AM370" s="32" t="str">
        <f t="shared" si="326"/>
        <v>1-0,538395583548438i</v>
      </c>
      <c r="AN370" s="32">
        <f t="shared" si="347"/>
        <v>1.13572435228997</v>
      </c>
      <c r="AO370" s="32">
        <f t="shared" si="348"/>
        <v>-0.493890237326963</v>
      </c>
      <c r="AP370" s="30" t="str">
        <f t="shared" si="349"/>
        <v>5,1110618657463-5,11318576845161i</v>
      </c>
      <c r="AQ370" s="32">
        <f t="shared" si="350"/>
        <v>17.1823274243314</v>
      </c>
      <c r="AR370" s="31">
        <f t="shared" si="351"/>
        <v>-45.0119021627521</v>
      </c>
      <c r="AS370" t="str">
        <f t="shared" si="327"/>
        <v>-0,000100699300699301</v>
      </c>
      <c r="AT370" t="str">
        <f t="shared" si="328"/>
        <v>0,0467501426921921i</v>
      </c>
      <c r="AU370">
        <f t="shared" si="352"/>
        <v>0.0467501426921921</v>
      </c>
      <c r="AV370">
        <f t="shared" si="353"/>
        <v>1.5707963267949</v>
      </c>
      <c r="AW370" t="str">
        <f t="shared" si="329"/>
        <v>1+2,39352155758321i</v>
      </c>
      <c r="AX370">
        <f t="shared" si="354"/>
        <v>2.59402109602361</v>
      </c>
      <c r="AY370">
        <f t="shared" si="355"/>
        <v>1.1750446485982</v>
      </c>
      <c r="AZ370" t="str">
        <f t="shared" si="330"/>
        <v>1+114,430700848712i</v>
      </c>
      <c r="BA370">
        <f t="shared" si="356"/>
        <v>114.435070222058</v>
      </c>
      <c r="BB370">
        <f t="shared" si="357"/>
        <v>1.56205763571334</v>
      </c>
      <c r="BC370" s="30" t="str">
        <f t="shared" si="358"/>
        <v>-0,035863995613092+0,0879952358033982i</v>
      </c>
      <c r="BD370" s="32">
        <f t="shared" si="359"/>
        <v>-20.4434169876382</v>
      </c>
      <c r="BE370" s="31">
        <f t="shared" si="360"/>
        <v>112.174210778448</v>
      </c>
      <c r="BF370" s="30" t="str">
        <f t="shared" si="361"/>
        <v>0,178318393690199-0,116008292220212i</v>
      </c>
      <c r="BG370" s="68">
        <f t="shared" si="362"/>
        <v>-13.4432984748658</v>
      </c>
      <c r="BH370" s="31">
        <f t="shared" si="363"/>
        <v>-33.0467512726725</v>
      </c>
      <c r="BI370" s="30" t="str">
        <f t="shared" ref="BI370:BI433" si="369">IMPRODUCT(AP370,BC370)</f>
        <v>0,266632887070112+0,633128366050775i</v>
      </c>
      <c r="BJ370" s="68">
        <f t="shared" si="364"/>
        <v>-3.26108956330677</v>
      </c>
      <c r="BK370" s="31">
        <f t="shared" ref="BK370:BK433" si="370">(180/PI())*IMARGUMENT(BI370)</f>
        <v>67.1623086156962</v>
      </c>
      <c r="BL370" s="32">
        <f t="shared" si="365"/>
        <v>-13.4432984748658</v>
      </c>
      <c r="BM370" s="31">
        <f t="shared" si="366"/>
        <v>-33.0467512726725</v>
      </c>
      <c r="BO370">
        <f t="shared" si="367"/>
        <v>0</v>
      </c>
      <c r="BP370">
        <f t="shared" si="368"/>
        <v>0</v>
      </c>
    </row>
    <row r="371" spans="14:68">
      <c r="N371" s="7">
        <v>53</v>
      </c>
      <c r="O371" s="18">
        <f t="shared" si="318"/>
        <v>33884.4156139203</v>
      </c>
      <c r="P371" s="86" t="str">
        <f t="shared" si="319"/>
        <v>60</v>
      </c>
      <c r="Q371" s="4" t="str">
        <f t="shared" si="320"/>
        <v>1+278,192028108261i</v>
      </c>
      <c r="R371" s="4">
        <f t="shared" si="331"/>
        <v>278.19382542211</v>
      </c>
      <c r="S371" s="4">
        <f t="shared" si="332"/>
        <v>1.56720170296729</v>
      </c>
      <c r="T371" s="4" t="str">
        <f t="shared" si="321"/>
        <v>1+3,33830433729914i</v>
      </c>
      <c r="U371" s="4">
        <f t="shared" si="333"/>
        <v>3.48486382064353</v>
      </c>
      <c r="V371" s="4">
        <f t="shared" si="334"/>
        <v>1.27974942136642</v>
      </c>
      <c r="W371" t="str">
        <f t="shared" si="322"/>
        <v>1-4,65723261341955i</v>
      </c>
      <c r="X371" s="4">
        <f t="shared" si="335"/>
        <v>4.76338279119983</v>
      </c>
      <c r="Y371" s="4">
        <f t="shared" si="336"/>
        <v>-1.3592880135625</v>
      </c>
      <c r="Z371" t="str">
        <f t="shared" si="323"/>
        <v>0,990627317375536+1,24265285358647i</v>
      </c>
      <c r="AA371" s="4">
        <f t="shared" si="337"/>
        <v>1.58919117681204</v>
      </c>
      <c r="AB371" s="4">
        <f t="shared" si="338"/>
        <v>0.897772680089522</v>
      </c>
      <c r="AC371" s="67" t="str">
        <f t="shared" si="339"/>
        <v>-1,86304979023092-1,26660965110621i</v>
      </c>
      <c r="AD371" s="68">
        <f t="shared" si="340"/>
        <v>7.05457827439543</v>
      </c>
      <c r="AE371" s="31">
        <f t="shared" si="341"/>
        <v>-145.789854398266</v>
      </c>
      <c r="AF371" s="32" t="str">
        <f t="shared" si="342"/>
        <v>326,048966736478</v>
      </c>
      <c r="AG371" s="32" t="str">
        <f t="shared" si="324"/>
        <v>1+178,837732355311i</v>
      </c>
      <c r="AH371" s="32">
        <f t="shared" si="343"/>
        <v>178.840528164032</v>
      </c>
      <c r="AI371" s="32">
        <f t="shared" si="344"/>
        <v>1.56520472392228</v>
      </c>
      <c r="AJ371" s="32" t="str">
        <f t="shared" si="325"/>
        <v>1+3,33830433729914i</v>
      </c>
      <c r="AK371" s="32">
        <f t="shared" si="345"/>
        <v>3.48486382064353</v>
      </c>
      <c r="AL371" s="32">
        <f t="shared" si="346"/>
        <v>1.27974942136642</v>
      </c>
      <c r="AM371" s="32" t="str">
        <f t="shared" si="326"/>
        <v>1-0,550936427720026i</v>
      </c>
      <c r="AN371" s="32">
        <f t="shared" si="347"/>
        <v>1.14172279796319</v>
      </c>
      <c r="AO371" s="32">
        <f t="shared" si="348"/>
        <v>-0.503561873056449</v>
      </c>
      <c r="AP371" s="30" t="str">
        <f t="shared" si="349"/>
        <v>5,11058896153045-5,14771404750279i</v>
      </c>
      <c r="AQ371" s="32">
        <f t="shared" si="350"/>
        <v>17.2112673856974</v>
      </c>
      <c r="AR371" s="31">
        <f t="shared" si="351"/>
        <v>-45.2073541259174</v>
      </c>
      <c r="AS371" t="str">
        <f t="shared" si="327"/>
        <v>-0,000100699300699301</v>
      </c>
      <c r="AT371" t="str">
        <f t="shared" si="328"/>
        <v>0,0478390934050456i</v>
      </c>
      <c r="AU371">
        <f t="shared" si="352"/>
        <v>0.0478390934050456</v>
      </c>
      <c r="AV371">
        <f t="shared" si="353"/>
        <v>1.5707963267949</v>
      </c>
      <c r="AW371" t="str">
        <f t="shared" si="329"/>
        <v>1+2,44927383674783i</v>
      </c>
      <c r="AX371">
        <f t="shared" si="354"/>
        <v>2.645551422176</v>
      </c>
      <c r="AY371">
        <f t="shared" si="355"/>
        <v>1.18316879408993</v>
      </c>
      <c r="AZ371" t="str">
        <f t="shared" si="330"/>
        <v>1+117,096134280263i</v>
      </c>
      <c r="BA371">
        <f t="shared" si="356"/>
        <v>117.100404198198</v>
      </c>
      <c r="BB371">
        <f t="shared" si="357"/>
        <v>1.56225654282402</v>
      </c>
      <c r="BC371" s="30" t="str">
        <f t="shared" si="358"/>
        <v>-0,0344804770049568+0,0865570885898515i</v>
      </c>
      <c r="BD371" s="32">
        <f t="shared" si="359"/>
        <v>-20.6142859887403</v>
      </c>
      <c r="BE371" s="31">
        <f t="shared" si="360"/>
        <v>111.720128067579</v>
      </c>
      <c r="BF371" s="30" t="str">
        <f t="shared" si="361"/>
        <v>0,173872889230708-0,117586860791098i</v>
      </c>
      <c r="BG371" s="68">
        <f t="shared" si="362"/>
        <v>-13.5597077143449</v>
      </c>
      <c r="BH371" s="31">
        <f t="shared" si="363"/>
        <v>-34.0697263306873</v>
      </c>
      <c r="BI371" s="30" t="str">
        <f t="shared" si="369"/>
        <v>0,269355595675085+0,619853337332521i</v>
      </c>
      <c r="BJ371" s="68">
        <f t="shared" si="364"/>
        <v>-3.40301860304294</v>
      </c>
      <c r="BK371" s="31">
        <f t="shared" si="370"/>
        <v>66.5127739416618</v>
      </c>
      <c r="BL371" s="32">
        <f t="shared" si="365"/>
        <v>-13.5597077143449</v>
      </c>
      <c r="BM371" s="31">
        <f t="shared" si="366"/>
        <v>-34.0697263306873</v>
      </c>
      <c r="BO371">
        <f t="shared" si="367"/>
        <v>0</v>
      </c>
      <c r="BP371">
        <f t="shared" si="368"/>
        <v>0</v>
      </c>
    </row>
    <row r="372" spans="14:68">
      <c r="N372" s="7">
        <v>54</v>
      </c>
      <c r="O372" s="18">
        <f t="shared" si="318"/>
        <v>34673.6850452532</v>
      </c>
      <c r="P372" s="86" t="str">
        <f t="shared" si="319"/>
        <v>60</v>
      </c>
      <c r="Q372" s="4" t="str">
        <f t="shared" si="320"/>
        <v>1+284,671952871553i</v>
      </c>
      <c r="R372" s="4">
        <f t="shared" si="331"/>
        <v>284.673709273799</v>
      </c>
      <c r="S372" s="4">
        <f t="shared" si="332"/>
        <v>1.56728352591426</v>
      </c>
      <c r="T372" s="4" t="str">
        <f t="shared" si="321"/>
        <v>1+3,41606343445864i</v>
      </c>
      <c r="U372" s="4">
        <f t="shared" si="333"/>
        <v>3.5594226200671</v>
      </c>
      <c r="V372" s="4">
        <f t="shared" si="334"/>
        <v>1.28601828303018</v>
      </c>
      <c r="W372" t="str">
        <f t="shared" si="322"/>
        <v>1-4,76571349673359i</v>
      </c>
      <c r="X372" s="4">
        <f t="shared" si="335"/>
        <v>4.86949947458142</v>
      </c>
      <c r="Y372" s="4">
        <f t="shared" si="336"/>
        <v>-1.36396488023623</v>
      </c>
      <c r="Z372" t="str">
        <f t="shared" si="323"/>
        <v>0,990185596452103+1,27159795691271i</v>
      </c>
      <c r="AA372" s="4">
        <f t="shared" si="337"/>
        <v>1.6116540818196</v>
      </c>
      <c r="AB372" s="4">
        <f t="shared" si="338"/>
        <v>0.909182584877367</v>
      </c>
      <c r="AC372" s="67" t="str">
        <f t="shared" si="339"/>
        <v>-1,88705034658886-1,25579244181194i</v>
      </c>
      <c r="AD372" s="68">
        <f t="shared" si="340"/>
        <v>7.10791874142001</v>
      </c>
      <c r="AE372" s="31">
        <f t="shared" si="341"/>
        <v>-146.35706730285</v>
      </c>
      <c r="AF372" s="32" t="str">
        <f t="shared" si="342"/>
        <v>326,048966736478</v>
      </c>
      <c r="AG372" s="32" t="str">
        <f t="shared" si="324"/>
        <v>1+183,00339827457i</v>
      </c>
      <c r="AH372" s="32">
        <f t="shared" si="343"/>
        <v>183.006130443876</v>
      </c>
      <c r="AI372" s="32">
        <f t="shared" si="344"/>
        <v>1.56533200177985</v>
      </c>
      <c r="AJ372" s="32" t="str">
        <f t="shared" si="325"/>
        <v>1+3,41606343445864i</v>
      </c>
      <c r="AK372" s="32">
        <f t="shared" si="345"/>
        <v>3.5594226200671</v>
      </c>
      <c r="AL372" s="32">
        <f t="shared" si="346"/>
        <v>1.28601828303018</v>
      </c>
      <c r="AM372" s="32" t="str">
        <f t="shared" si="326"/>
        <v>1-0,563769385678093i</v>
      </c>
      <c r="AN372" s="32">
        <f t="shared" si="347"/>
        <v>1.14797034814835</v>
      </c>
      <c r="AO372" s="32">
        <f t="shared" si="348"/>
        <v>-0.513353218370567</v>
      </c>
      <c r="AP372" s="30" t="str">
        <f t="shared" si="349"/>
        <v>5,11013734020944-5,18497147459598i</v>
      </c>
      <c r="AQ372" s="32">
        <f t="shared" si="350"/>
        <v>17.242548330808</v>
      </c>
      <c r="AR372" s="31">
        <f t="shared" si="351"/>
        <v>-45.4164700565513</v>
      </c>
      <c r="AS372" t="str">
        <f t="shared" si="327"/>
        <v>-0,000100699300699301</v>
      </c>
      <c r="AT372" t="str">
        <f t="shared" si="328"/>
        <v>0,0489534090384475i</v>
      </c>
      <c r="AU372">
        <f t="shared" si="352"/>
        <v>0.0489534090384475</v>
      </c>
      <c r="AV372">
        <f t="shared" si="353"/>
        <v>1.5707963267949</v>
      </c>
      <c r="AW372" t="str">
        <f t="shared" si="329"/>
        <v>1+2,50632475332064i</v>
      </c>
      <c r="AX372">
        <f t="shared" si="354"/>
        <v>2.69845581196131</v>
      </c>
      <c r="AY372">
        <f t="shared" si="355"/>
        <v>1.19116043075536</v>
      </c>
      <c r="AZ372" t="str">
        <f t="shared" si="330"/>
        <v>1+119,823653632159i</v>
      </c>
      <c r="BA372">
        <f t="shared" si="356"/>
        <v>119.82782635832</v>
      </c>
      <c r="BB372">
        <f t="shared" si="357"/>
        <v>1.56245092290906</v>
      </c>
      <c r="BC372" s="30" t="str">
        <f t="shared" si="358"/>
        <v>-0,0331417211272483+0,0851209597093276i</v>
      </c>
      <c r="BD372" s="32">
        <f t="shared" si="359"/>
        <v>-20.7862823097558</v>
      </c>
      <c r="BE372" s="31">
        <f t="shared" si="360"/>
        <v>111.273378173742</v>
      </c>
      <c r="BF372" s="30" t="str">
        <f t="shared" si="361"/>
        <v>0,169434354182478-0,119008413621226i</v>
      </c>
      <c r="BG372" s="68">
        <f t="shared" si="362"/>
        <v>-13.6783635683357</v>
      </c>
      <c r="BH372" s="31">
        <f t="shared" si="363"/>
        <v>-35.0836891291082</v>
      </c>
      <c r="BI372" s="30" t="str">
        <f t="shared" si="369"/>
        <v>0,271991001331938+0,606818673308896i</v>
      </c>
      <c r="BJ372" s="68">
        <f t="shared" si="364"/>
        <v>-3.54373397894776</v>
      </c>
      <c r="BK372" s="31">
        <f t="shared" si="370"/>
        <v>65.8569081171911</v>
      </c>
      <c r="BL372" s="32">
        <f t="shared" si="365"/>
        <v>-13.6783635683357</v>
      </c>
      <c r="BM372" s="31">
        <f t="shared" si="366"/>
        <v>-35.0836891291082</v>
      </c>
      <c r="BO372">
        <f t="shared" si="367"/>
        <v>0</v>
      </c>
      <c r="BP372">
        <f t="shared" si="368"/>
        <v>0</v>
      </c>
    </row>
    <row r="373" spans="14:68">
      <c r="N373" s="7">
        <v>55</v>
      </c>
      <c r="O373" s="18">
        <f t="shared" si="318"/>
        <v>35481.3389233576</v>
      </c>
      <c r="P373" s="86" t="str">
        <f t="shared" si="319"/>
        <v>60</v>
      </c>
      <c r="Q373" s="4" t="str">
        <f t="shared" si="320"/>
        <v>1+291,302814472339i</v>
      </c>
      <c r="R373" s="4">
        <f t="shared" si="331"/>
        <v>291.304530894228</v>
      </c>
      <c r="S373" s="4">
        <f t="shared" si="332"/>
        <v>1.56736348638902</v>
      </c>
      <c r="T373" s="4" t="str">
        <f t="shared" si="321"/>
        <v>1+3,49563377366807i</v>
      </c>
      <c r="U373" s="4">
        <f t="shared" si="333"/>
        <v>3.63585691132213</v>
      </c>
      <c r="V373" s="4">
        <f t="shared" si="334"/>
        <v>1.29216676079026</v>
      </c>
      <c r="W373" t="str">
        <f t="shared" si="322"/>
        <v>1-4,87672122442531i</v>
      </c>
      <c r="X373" s="4">
        <f t="shared" si="335"/>
        <v>4.97819343745904</v>
      </c>
      <c r="Y373" s="4">
        <f t="shared" si="336"/>
        <v>-1.36854417542124</v>
      </c>
      <c r="Z373" t="str">
        <f t="shared" si="323"/>
        <v>0,989723057862905+1,3012172783073i</v>
      </c>
      <c r="AA373" s="4">
        <f t="shared" si="337"/>
        <v>1.63484498856343</v>
      </c>
      <c r="AB373" s="4">
        <f t="shared" si="338"/>
        <v>0.920537290811449</v>
      </c>
      <c r="AC373" s="67" t="str">
        <f t="shared" si="339"/>
        <v>-1,91079647661852-1,24457222902357i</v>
      </c>
      <c r="AD373" s="68">
        <f t="shared" si="340"/>
        <v>7.16011963318769</v>
      </c>
      <c r="AE373" s="31">
        <f t="shared" si="341"/>
        <v>-146.92231788938</v>
      </c>
      <c r="AF373" s="32" t="str">
        <f t="shared" si="342"/>
        <v>326,048966736478</v>
      </c>
      <c r="AG373" s="32" t="str">
        <f t="shared" si="324"/>
        <v>1+187,266095017932i</v>
      </c>
      <c r="AH373" s="32">
        <f t="shared" si="343"/>
        <v>187.268764996369</v>
      </c>
      <c r="AI373" s="32">
        <f t="shared" si="344"/>
        <v>1.56545638261074</v>
      </c>
      <c r="AJ373" s="32" t="str">
        <f t="shared" si="325"/>
        <v>1+3,49563377366807i</v>
      </c>
      <c r="AK373" s="32">
        <f t="shared" si="345"/>
        <v>3.63585691132213</v>
      </c>
      <c r="AL373" s="32">
        <f t="shared" si="346"/>
        <v>1.29216676079026</v>
      </c>
      <c r="AM373" s="32" t="str">
        <f t="shared" si="326"/>
        <v>1-0,576901261626821i</v>
      </c>
      <c r="AN373" s="32">
        <f t="shared" si="347"/>
        <v>1.15447610008463</v>
      </c>
      <c r="AO373" s="32">
        <f t="shared" si="348"/>
        <v>-0.523261954452149</v>
      </c>
      <c r="AP373" s="30" t="str">
        <f t="shared" si="349"/>
        <v>5,10970604400967-5,22497782000237i</v>
      </c>
      <c r="AQ373" s="32">
        <f t="shared" si="350"/>
        <v>17.2761842345382</v>
      </c>
      <c r="AR373" s="31">
        <f t="shared" si="351"/>
        <v>-45.6390434849149</v>
      </c>
      <c r="AS373" t="str">
        <f t="shared" si="327"/>
        <v>-0,000100699300699301</v>
      </c>
      <c r="AT373" t="str">
        <f t="shared" si="328"/>
        <v>0,0500936804172967i</v>
      </c>
      <c r="AU373">
        <f t="shared" si="352"/>
        <v>0.0500936804172967</v>
      </c>
      <c r="AV373">
        <f t="shared" si="353"/>
        <v>1.5707963267949</v>
      </c>
      <c r="AW373" t="str">
        <f t="shared" si="329"/>
        <v>1+2,56470455645281i</v>
      </c>
      <c r="AX373">
        <f t="shared" si="354"/>
        <v>2.75276396770406</v>
      </c>
      <c r="AY373">
        <f t="shared" si="355"/>
        <v>1.19901971165754</v>
      </c>
      <c r="AZ373" t="str">
        <f t="shared" si="330"/>
        <v>1+122,614705071265i</v>
      </c>
      <c r="BA373">
        <f t="shared" si="356"/>
        <v>122.618782817778</v>
      </c>
      <c r="BB373">
        <f t="shared" si="357"/>
        <v>1.56264087897257</v>
      </c>
      <c r="BC373" s="30" t="str">
        <f t="shared" si="358"/>
        <v>-0,0318469415054575+0,0836882156378063i</v>
      </c>
      <c r="BD373" s="32">
        <f t="shared" si="359"/>
        <v>-20.9593692067338</v>
      </c>
      <c r="BE373" s="31">
        <f t="shared" si="360"/>
        <v>110.833958228772</v>
      </c>
      <c r="BF373" s="30" t="str">
        <f t="shared" si="361"/>
        <v>0,165009052699054-0,120275328598181i</v>
      </c>
      <c r="BG373" s="68">
        <f t="shared" si="362"/>
        <v>-13.7992495735461</v>
      </c>
      <c r="BH373" s="31">
        <f t="shared" si="363"/>
        <v>-36.0883596606086</v>
      </c>
      <c r="BI373" s="30" t="str">
        <f t="shared" si="369"/>
        <v>0,274540561009455+0,594021744257812i</v>
      </c>
      <c r="BJ373" s="68">
        <f t="shared" si="364"/>
        <v>-3.68318497219558</v>
      </c>
      <c r="BK373" s="31">
        <f t="shared" si="370"/>
        <v>65.1949147438568</v>
      </c>
      <c r="BL373" s="32">
        <f t="shared" si="365"/>
        <v>-13.7992495735461</v>
      </c>
      <c r="BM373" s="31">
        <f t="shared" si="366"/>
        <v>-36.0883596606086</v>
      </c>
      <c r="BO373">
        <f t="shared" si="367"/>
        <v>0</v>
      </c>
      <c r="BP373">
        <f t="shared" si="368"/>
        <v>0</v>
      </c>
    </row>
    <row r="374" spans="14:68">
      <c r="N374" s="7">
        <v>56</v>
      </c>
      <c r="O374" s="18">
        <f t="shared" si="318"/>
        <v>36307.8054770102</v>
      </c>
      <c r="P374" s="86" t="str">
        <f t="shared" si="319"/>
        <v>60</v>
      </c>
      <c r="Q374" s="4" t="str">
        <f t="shared" si="320"/>
        <v>1+298,088128681204i</v>
      </c>
      <c r="R374" s="4">
        <f t="shared" si="331"/>
        <v>298.089806032783</v>
      </c>
      <c r="S374" s="4">
        <f t="shared" si="332"/>
        <v>1.56744162678358</v>
      </c>
      <c r="T374" s="4" t="str">
        <f t="shared" si="321"/>
        <v>1+3,57705754417445i</v>
      </c>
      <c r="U374" s="4">
        <f t="shared" si="333"/>
        <v>3.71420794710465</v>
      </c>
      <c r="V374" s="4">
        <f t="shared" si="334"/>
        <v>1.29819625444887</v>
      </c>
      <c r="W374" t="str">
        <f t="shared" si="322"/>
        <v>1-4,99031465426124i</v>
      </c>
      <c r="X374" s="4">
        <f t="shared" si="335"/>
        <v>5.08952260516981</v>
      </c>
      <c r="Y374" s="4">
        <f t="shared" si="336"/>
        <v>-1.3730275585392</v>
      </c>
      <c r="Z374" t="str">
        <f t="shared" si="323"/>
        <v>0,98923872050158+1,3315265223265i</v>
      </c>
      <c r="AA374" s="4">
        <f t="shared" si="337"/>
        <v>1.65878151840395</v>
      </c>
      <c r="AB374" s="4">
        <f t="shared" si="338"/>
        <v>0.931831657985329</v>
      </c>
      <c r="AC374" s="67" t="str">
        <f t="shared" si="339"/>
        <v>-1,9342674664997-1,23296069267377i</v>
      </c>
      <c r="AD374" s="68">
        <f t="shared" si="340"/>
        <v>7.21116401035398</v>
      </c>
      <c r="AE374" s="31">
        <f t="shared" si="341"/>
        <v>-147.485328966892</v>
      </c>
      <c r="AF374" s="32" t="str">
        <f t="shared" si="342"/>
        <v>326,048966736478</v>
      </c>
      <c r="AG374" s="32" t="str">
        <f t="shared" si="324"/>
        <v>1+191,628082723632i</v>
      </c>
      <c r="AH374" s="32">
        <f t="shared" si="343"/>
        <v>191.630691926777</v>
      </c>
      <c r="AI374" s="32">
        <f t="shared" si="344"/>
        <v>1.56557793234792</v>
      </c>
      <c r="AJ374" s="32" t="str">
        <f t="shared" si="325"/>
        <v>1+3,57705754417445i</v>
      </c>
      <c r="AK374" s="32">
        <f t="shared" si="345"/>
        <v>3.71420794710465</v>
      </c>
      <c r="AL374" s="32">
        <f t="shared" si="346"/>
        <v>1.29819625444887</v>
      </c>
      <c r="AM374" s="32" t="str">
        <f t="shared" si="326"/>
        <v>1-0,590339018260651i</v>
      </c>
      <c r="AN374" s="32">
        <f t="shared" si="347"/>
        <v>1.16124939460951</v>
      </c>
      <c r="AO374" s="32">
        <f t="shared" si="348"/>
        <v>-0.53328555143558</v>
      </c>
      <c r="AP374" s="30" t="str">
        <f t="shared" si="349"/>
        <v>5,10929415825436-5,26775431044543i</v>
      </c>
      <c r="AQ374" s="32">
        <f t="shared" si="350"/>
        <v>17.3121895203393</v>
      </c>
      <c r="AR374" s="31">
        <f t="shared" si="351"/>
        <v>-45.8748530353078</v>
      </c>
      <c r="AS374" t="str">
        <f t="shared" si="327"/>
        <v>-0,000100699300699301</v>
      </c>
      <c r="AT374" t="str">
        <f t="shared" si="328"/>
        <v>0,0512605121285714i</v>
      </c>
      <c r="AU374">
        <f t="shared" si="352"/>
        <v>0.0512605121285714</v>
      </c>
      <c r="AV374">
        <f t="shared" si="353"/>
        <v>1.5707963267949</v>
      </c>
      <c r="AW374" t="str">
        <f t="shared" si="329"/>
        <v>1+2,62444419988867i</v>
      </c>
      <c r="AX374">
        <f t="shared" si="354"/>
        <v>2.80850625036322</v>
      </c>
      <c r="AY374">
        <f t="shared" si="355"/>
        <v>1.20674691922507</v>
      </c>
      <c r="AZ374" t="str">
        <f t="shared" si="330"/>
        <v>1+125,470768449997i</v>
      </c>
      <c r="BA374">
        <f t="shared" si="356"/>
        <v>125.474753378649</v>
      </c>
      <c r="BB374">
        <f t="shared" si="357"/>
        <v>1.5628265116769</v>
      </c>
      <c r="BC374" s="30" t="str">
        <f t="shared" si="358"/>
        <v>-0,0305953123024171+0,0822601513798182i</v>
      </c>
      <c r="BD374" s="32">
        <f t="shared" si="359"/>
        <v>-21.1335106028214</v>
      </c>
      <c r="BE374" s="31">
        <f t="shared" si="360"/>
        <v>110.401857818228</v>
      </c>
      <c r="BF374" s="30" t="str">
        <f t="shared" si="361"/>
        <v>0,160603050438673-0,121390317154364i</v>
      </c>
      <c r="BG374" s="68">
        <f t="shared" si="362"/>
        <v>-13.9223465924675</v>
      </c>
      <c r="BH374" s="31">
        <f t="shared" si="363"/>
        <v>-37.083471148664</v>
      </c>
      <c r="BI374" s="30" t="str">
        <f t="shared" si="369"/>
        <v>0,277005816592223+0,581459899162506i</v>
      </c>
      <c r="BJ374" s="68">
        <f t="shared" si="364"/>
        <v>-3.82132108248216</v>
      </c>
      <c r="BK374" s="31">
        <f t="shared" si="370"/>
        <v>64.5270047829207</v>
      </c>
      <c r="BL374" s="32">
        <f t="shared" si="365"/>
        <v>-13.9223465924675</v>
      </c>
      <c r="BM374" s="31">
        <f t="shared" si="366"/>
        <v>-37.083471148664</v>
      </c>
      <c r="BO374">
        <f t="shared" si="367"/>
        <v>0</v>
      </c>
      <c r="BP374">
        <f t="shared" si="368"/>
        <v>0</v>
      </c>
    </row>
    <row r="375" spans="14:68">
      <c r="N375" s="7">
        <v>57</v>
      </c>
      <c r="O375" s="18">
        <f t="shared" si="318"/>
        <v>37153.5229097174</v>
      </c>
      <c r="P375" s="86" t="str">
        <f t="shared" si="319"/>
        <v>60</v>
      </c>
      <c r="Q375" s="4" t="str">
        <f t="shared" si="320"/>
        <v>1+305,031493161561i</v>
      </c>
      <c r="R375" s="4">
        <f t="shared" si="331"/>
        <v>305.033132332164</v>
      </c>
      <c r="S375" s="4">
        <f t="shared" si="332"/>
        <v>1.56751798852519</v>
      </c>
      <c r="T375" s="4" t="str">
        <f t="shared" si="321"/>
        <v>1+3,66037791793874i</v>
      </c>
      <c r="U375" s="4">
        <f t="shared" si="333"/>
        <v>3.79451795385574</v>
      </c>
      <c r="V375" s="4">
        <f t="shared" si="334"/>
        <v>1.30410820662691</v>
      </c>
      <c r="W375" t="str">
        <f t="shared" si="322"/>
        <v>1-5,1065540149815i</v>
      </c>
      <c r="X375" s="4">
        <f t="shared" si="335"/>
        <v>5.20354628190465</v>
      </c>
      <c r="Y375" s="4">
        <f t="shared" si="336"/>
        <v>-1.37741668544353</v>
      </c>
      <c r="Z375" t="str">
        <f t="shared" si="323"/>
        <v>0,98873155702365+1,36254175933267i</v>
      </c>
      <c r="AA375" s="4">
        <f t="shared" si="337"/>
        <v>1.68348155255108</v>
      </c>
      <c r="AB375" s="4">
        <f t="shared" si="338"/>
        <v>0.943060706721569</v>
      </c>
      <c r="AC375" s="67" t="str">
        <f t="shared" si="339"/>
        <v>-1,95744364633661-1,22097055306411i</v>
      </c>
      <c r="AD375" s="68">
        <f t="shared" si="340"/>
        <v>7.26103815690632</v>
      </c>
      <c r="AE375" s="31">
        <f t="shared" si="341"/>
        <v>-148.045829811817</v>
      </c>
      <c r="AF375" s="32" t="str">
        <f t="shared" si="342"/>
        <v>326,048966736478</v>
      </c>
      <c r="AG375" s="32" t="str">
        <f t="shared" si="324"/>
        <v>1+196,09167417529i</v>
      </c>
      <c r="AH375" s="32">
        <f t="shared" si="343"/>
        <v>196.094223986501</v>
      </c>
      <c r="AI375" s="32">
        <f t="shared" si="344"/>
        <v>1.56569671542429</v>
      </c>
      <c r="AJ375" s="32" t="str">
        <f t="shared" si="325"/>
        <v>1+3,66037791793874i</v>
      </c>
      <c r="AK375" s="32">
        <f t="shared" si="345"/>
        <v>3.79451795385574</v>
      </c>
      <c r="AL375" s="32">
        <f t="shared" si="346"/>
        <v>1.30410820662691</v>
      </c>
      <c r="AM375" s="32" t="str">
        <f t="shared" si="326"/>
        <v>1-0,604089780456026i</v>
      </c>
      <c r="AN375" s="32">
        <f t="shared" si="347"/>
        <v>1.16829981719223</v>
      </c>
      <c r="AO375" s="32">
        <f t="shared" si="348"/>
        <v>-0.543421266618393</v>
      </c>
      <c r="AP375" s="30" t="str">
        <f t="shared" si="349"/>
        <v>5,10890080942489-5,31332364042658i</v>
      </c>
      <c r="AQ375" s="32">
        <f t="shared" si="350"/>
        <v>17.3505789488858</v>
      </c>
      <c r="AR375" s="31">
        <f t="shared" si="351"/>
        <v>-46.1236625980982</v>
      </c>
      <c r="AS375" t="str">
        <f t="shared" si="327"/>
        <v>-0,000100699300699301</v>
      </c>
      <c r="AT375" t="str">
        <f t="shared" si="328"/>
        <v>0,0524545228418898i</v>
      </c>
      <c r="AU375">
        <f t="shared" si="352"/>
        <v>0.0524545228418898</v>
      </c>
      <c r="AV375">
        <f t="shared" si="353"/>
        <v>1.5707963267949</v>
      </c>
      <c r="AW375" t="str">
        <f t="shared" si="329"/>
        <v>1+2,68557535837796i</v>
      </c>
      <c r="AX375">
        <f t="shared" si="354"/>
        <v>2.8657136991554</v>
      </c>
      <c r="AY375">
        <f t="shared" si="355"/>
        <v>1.21434245839153</v>
      </c>
      <c r="AZ375" t="str">
        <f t="shared" si="330"/>
        <v>1+128,393358090963i</v>
      </c>
      <c r="BA375">
        <f t="shared" si="356"/>
        <v>128.397252314348</v>
      </c>
      <c r="BB375">
        <f t="shared" si="357"/>
        <v>1.56300791939577</v>
      </c>
      <c r="BC375" s="30" t="str">
        <f t="shared" si="358"/>
        <v>-0,029385973360221+0,0808379907998732i</v>
      </c>
      <c r="BD375" s="32">
        <f t="shared" si="359"/>
        <v>-21.3086711188433</v>
      </c>
      <c r="BE375" s="31">
        <f t="shared" si="360"/>
        <v>109.977059377526</v>
      </c>
      <c r="BF375" s="30" t="str">
        <f t="shared" si="361"/>
        <v>0,156222193180894-0,122356403327873i</v>
      </c>
      <c r="BG375" s="68">
        <f t="shared" si="362"/>
        <v>-14.0476329619369</v>
      </c>
      <c r="BH375" s="31">
        <f t="shared" si="363"/>
        <v>-38.0687704342912</v>
      </c>
      <c r="BI375" s="30" t="str">
        <f t="shared" si="369"/>
        <v>0,279388384475781+0,569130463581562i</v>
      </c>
      <c r="BJ375" s="68">
        <f t="shared" si="364"/>
        <v>-3.95809216995749</v>
      </c>
      <c r="BK375" s="31">
        <f t="shared" si="370"/>
        <v>63.8533967794278</v>
      </c>
      <c r="BL375" s="32">
        <f t="shared" si="365"/>
        <v>-14.0476329619369</v>
      </c>
      <c r="BM375" s="31">
        <f t="shared" si="366"/>
        <v>-38.0687704342912</v>
      </c>
      <c r="BO375">
        <f t="shared" si="367"/>
        <v>0</v>
      </c>
      <c r="BP375">
        <f t="shared" si="368"/>
        <v>0</v>
      </c>
    </row>
    <row r="376" spans="14:68">
      <c r="N376" s="7">
        <v>58</v>
      </c>
      <c r="O376" s="18">
        <f t="shared" si="318"/>
        <v>38018.9396320561</v>
      </c>
      <c r="P376" s="86" t="str">
        <f t="shared" si="319"/>
        <v>60</v>
      </c>
      <c r="Q376" s="4" t="str">
        <f t="shared" si="320"/>
        <v>1+312,136589377159i</v>
      </c>
      <c r="R376" s="4">
        <f t="shared" si="331"/>
        <v>312.138191235877</v>
      </c>
      <c r="S376" s="4">
        <f t="shared" si="332"/>
        <v>1.56759261209829</v>
      </c>
      <c r="T376" s="4" t="str">
        <f t="shared" si="321"/>
        <v>1+3,74563907252591i</v>
      </c>
      <c r="U376" s="4">
        <f t="shared" si="333"/>
        <v>3.87683015640778</v>
      </c>
      <c r="V376" s="4">
        <f t="shared" si="334"/>
        <v>1.30990409822152</v>
      </c>
      <c r="W376" t="str">
        <f t="shared" si="322"/>
        <v>1-5,22550093823369i</v>
      </c>
      <c r="X376" s="4">
        <f t="shared" si="335"/>
        <v>5.32032518324596</v>
      </c>
      <c r="Y376" s="4">
        <f t="shared" si="336"/>
        <v>-1.38171320655162</v>
      </c>
      <c r="Z376" t="str">
        <f t="shared" si="323"/>
        <v>0,98820049166738+1,39427943401501i</v>
      </c>
      <c r="AA376" s="4">
        <f t="shared" si="337"/>
        <v>1.70896323888165</v>
      </c>
      <c r="AB376" s="4">
        <f t="shared" si="338"/>
        <v>0.954219627565123</v>
      </c>
      <c r="AC376" s="67" t="str">
        <f t="shared" si="339"/>
        <v>-1,98030644497371-1,20861548144444i</v>
      </c>
      <c r="AD376" s="68">
        <f t="shared" si="340"/>
        <v>7.30973145534524</v>
      </c>
      <c r="AE376" s="31">
        <f t="shared" si="341"/>
        <v>-148.60355689506</v>
      </c>
      <c r="AF376" s="32" t="str">
        <f t="shared" si="342"/>
        <v>326,048966736478</v>
      </c>
      <c r="AG376" s="32" t="str">
        <f t="shared" si="324"/>
        <v>1+200,659236028174i</v>
      </c>
      <c r="AH376" s="32">
        <f t="shared" si="343"/>
        <v>200.661727799325</v>
      </c>
      <c r="AI376" s="32">
        <f t="shared" si="344"/>
        <v>1.56581279480679</v>
      </c>
      <c r="AJ376" s="32" t="str">
        <f t="shared" si="325"/>
        <v>1+3,74563907252591i</v>
      </c>
      <c r="AK376" s="32">
        <f t="shared" si="345"/>
        <v>3.87683015640778</v>
      </c>
      <c r="AL376" s="32">
        <f t="shared" si="346"/>
        <v>1.30990409822152</v>
      </c>
      <c r="AM376" s="32" t="str">
        <f t="shared" si="326"/>
        <v>1-0,618160839049068i</v>
      </c>
      <c r="AN376" s="32">
        <f t="shared" si="347"/>
        <v>1.17563719868582</v>
      </c>
      <c r="AO376" s="32">
        <f t="shared" si="348"/>
        <v>-0.553666143428705</v>
      </c>
      <c r="AP376" s="30" t="str">
        <f t="shared" si="349"/>
        <v>5,10852516330894-5,36170998432397i</v>
      </c>
      <c r="AQ376" s="32">
        <f t="shared" si="350"/>
        <v>17.3913675020817</v>
      </c>
      <c r="AR376" s="31">
        <f t="shared" si="351"/>
        <v>-46.3852215327794</v>
      </c>
      <c r="AS376" t="str">
        <f t="shared" si="327"/>
        <v>-0,000100699300699301</v>
      </c>
      <c r="AT376" t="str">
        <f t="shared" si="328"/>
        <v>0,0536763456375364i</v>
      </c>
      <c r="AU376">
        <f t="shared" si="352"/>
        <v>0.0536763456375364</v>
      </c>
      <c r="AV376">
        <f t="shared" si="353"/>
        <v>1.5707963267949</v>
      </c>
      <c r="AW376" t="str">
        <f t="shared" si="329"/>
        <v>1+2,74813044447003i</v>
      </c>
      <c r="AX376">
        <f t="shared" si="354"/>
        <v>2.92441805148016</v>
      </c>
      <c r="AY376">
        <f t="shared" si="355"/>
        <v>1.22180684978234</v>
      </c>
      <c r="AZ376" t="str">
        <f t="shared" si="330"/>
        <v>1+131,384023589876i</v>
      </c>
      <c r="BA376">
        <f t="shared" si="356"/>
        <v>131.387829172512</v>
      </c>
      <c r="BB376">
        <f t="shared" si="357"/>
        <v>1.56318519826615</v>
      </c>
      <c r="BC376" s="30" t="str">
        <f t="shared" si="358"/>
        <v>-0,028218035019936+0,0794228872550119i</v>
      </c>
      <c r="BD376" s="32">
        <f t="shared" si="359"/>
        <v>-21.4848160997896</v>
      </c>
      <c r="BE376" s="31">
        <f t="shared" si="360"/>
        <v>109.559538585268</v>
      </c>
      <c r="BF376" s="30" t="str">
        <f t="shared" si="361"/>
        <v>0,151872087731897-0,123176901528484i</v>
      </c>
      <c r="BG376" s="68">
        <f t="shared" si="362"/>
        <v>-14.1750846444444</v>
      </c>
      <c r="BH376" s="31">
        <f t="shared" si="363"/>
        <v>-39.0440183097911</v>
      </c>
      <c r="BI376" s="30" t="str">
        <f t="shared" si="369"/>
        <v>0,281689945620558+0,557030738189272i</v>
      </c>
      <c r="BJ376" s="68">
        <f t="shared" si="364"/>
        <v>-4.09344859770784</v>
      </c>
      <c r="BK376" s="31">
        <f t="shared" si="370"/>
        <v>63.1743170524891</v>
      </c>
      <c r="BL376" s="32">
        <f t="shared" si="365"/>
        <v>-14.1750846444444</v>
      </c>
      <c r="BM376" s="31">
        <f t="shared" si="366"/>
        <v>-39.0440183097911</v>
      </c>
      <c r="BO376">
        <f t="shared" si="367"/>
        <v>0</v>
      </c>
      <c r="BP376">
        <f t="shared" si="368"/>
        <v>0</v>
      </c>
    </row>
    <row r="377" spans="14:68">
      <c r="N377" s="7">
        <v>59</v>
      </c>
      <c r="O377" s="18">
        <f t="shared" si="318"/>
        <v>38904.5144994281</v>
      </c>
      <c r="P377" s="86" t="str">
        <f t="shared" si="319"/>
        <v>60</v>
      </c>
      <c r="Q377" s="4" t="str">
        <f t="shared" si="320"/>
        <v>1+319,407184544062i</v>
      </c>
      <c r="R377" s="4">
        <f t="shared" si="331"/>
        <v>319.408749940205</v>
      </c>
      <c r="S377" s="4">
        <f t="shared" si="332"/>
        <v>1.56766553706597</v>
      </c>
      <c r="T377" s="4" t="str">
        <f t="shared" si="321"/>
        <v>1+3,83288621452875i</v>
      </c>
      <c r="U377" s="4">
        <f t="shared" si="333"/>
        <v>3.96118880306462</v>
      </c>
      <c r="V377" s="4">
        <f t="shared" si="334"/>
        <v>1.31558544407675</v>
      </c>
      <c r="W377" t="str">
        <f t="shared" si="322"/>
        <v>1-5,34721849125105i</v>
      </c>
      <c r="X377" s="4">
        <f t="shared" si="335"/>
        <v>5.43992146939431</v>
      </c>
      <c r="Y377" s="4">
        <f t="shared" si="336"/>
        <v>-1.38591876511645</v>
      </c>
      <c r="Z377" t="str">
        <f t="shared" si="323"/>
        <v>0,987644397971949+1,42675637410874i</v>
      </c>
      <c r="AA377" s="4">
        <f t="shared" si="337"/>
        <v>1.73524499938922</v>
      </c>
      <c r="AB377" s="4">
        <f t="shared" si="338"/>
        <v>0.96530379033581</v>
      </c>
      <c r="AC377" s="67" t="str">
        <f t="shared" si="339"/>
        <v>-2,0028384364093-1,19591000769103i</v>
      </c>
      <c r="AD377" s="68">
        <f t="shared" si="340"/>
        <v>7.35723625599744</v>
      </c>
      <c r="AE377" s="31">
        <f t="shared" si="341"/>
        <v>-149.158254550926</v>
      </c>
      <c r="AF377" s="32" t="str">
        <f t="shared" si="342"/>
        <v>326,048966736478</v>
      </c>
      <c r="AG377" s="32" t="str">
        <f t="shared" si="324"/>
        <v>1+205,33319006404i</v>
      </c>
      <c r="AH377" s="32">
        <f t="shared" si="343"/>
        <v>205.335625116235</v>
      </c>
      <c r="AI377" s="32">
        <f t="shared" si="344"/>
        <v>1.56592623202973</v>
      </c>
      <c r="AJ377" s="32" t="str">
        <f t="shared" si="325"/>
        <v>1+3,83288621452875i</v>
      </c>
      <c r="AK377" s="32">
        <f t="shared" si="345"/>
        <v>3.96118880306462</v>
      </c>
      <c r="AL377" s="32">
        <f t="shared" si="346"/>
        <v>1.31558544407675</v>
      </c>
      <c r="AM377" s="32" t="str">
        <f t="shared" si="326"/>
        <v>1-0,632559654701303i</v>
      </c>
      <c r="AN377" s="32">
        <f t="shared" si="347"/>
        <v>1.18327161579911</v>
      </c>
      <c r="AO377" s="32">
        <f t="shared" si="348"/>
        <v>-0.564017011196316</v>
      </c>
      <c r="AP377" s="30" t="str">
        <f t="shared" si="349"/>
        <v>5,10816642323238-5,41293900927187i</v>
      </c>
      <c r="AQ377" s="32">
        <f t="shared" si="350"/>
        <v>17.4345702630405</v>
      </c>
      <c r="AR377" s="31">
        <f t="shared" si="351"/>
        <v>-46.6592649048169</v>
      </c>
      <c r="AS377" t="str">
        <f t="shared" si="327"/>
        <v>-0,000100699300699301</v>
      </c>
      <c r="AT377" t="str">
        <f t="shared" si="328"/>
        <v>0,0549266283421307i</v>
      </c>
      <c r="AU377">
        <f t="shared" si="352"/>
        <v>0.0549266283421307</v>
      </c>
      <c r="AV377">
        <f t="shared" si="353"/>
        <v>1.5707963267949</v>
      </c>
      <c r="AW377" t="str">
        <f t="shared" si="329"/>
        <v>1+2,81214262569958i</v>
      </c>
      <c r="AX377">
        <f t="shared" si="354"/>
        <v>2.98465176315036</v>
      </c>
      <c r="AY377">
        <f t="shared" si="355"/>
        <v>1.22914072297639</v>
      </c>
      <c r="AZ377" t="str">
        <f t="shared" si="330"/>
        <v>1+134,444350637169i</v>
      </c>
      <c r="BA377">
        <f t="shared" si="356"/>
        <v>134.448069596592</v>
      </c>
      <c r="BB377">
        <f t="shared" si="357"/>
        <v>1.56335844223906</v>
      </c>
      <c r="BC377" s="30" t="str">
        <f t="shared" si="358"/>
        <v>-0,0270905827080461+0,0780159244983246i</v>
      </c>
      <c r="BD377" s="32">
        <f t="shared" si="359"/>
        <v>-21.6619116374049</v>
      </c>
      <c r="BE377" s="31">
        <f t="shared" si="360"/>
        <v>109.149264752239</v>
      </c>
      <c r="BF377" s="30" t="str">
        <f t="shared" si="361"/>
        <v>0,147558085179214-0,123855393262517i</v>
      </c>
      <c r="BG377" s="68">
        <f t="shared" si="362"/>
        <v>-14.3046753814075</v>
      </c>
      <c r="BH377" s="31">
        <f t="shared" si="363"/>
        <v>-40.0089897986872</v>
      </c>
      <c r="BI377" s="30" t="str">
        <f t="shared" si="369"/>
        <v>0,283912236086349+0,545157997924063i</v>
      </c>
      <c r="BJ377" s="68">
        <f t="shared" si="364"/>
        <v>-4.22734137436437</v>
      </c>
      <c r="BK377" s="31">
        <f t="shared" si="370"/>
        <v>62.4899998474224</v>
      </c>
      <c r="BL377" s="32">
        <f t="shared" si="365"/>
        <v>-14.3046753814075</v>
      </c>
      <c r="BM377" s="31">
        <f t="shared" si="366"/>
        <v>-40.0089897986872</v>
      </c>
      <c r="BO377">
        <f t="shared" si="367"/>
        <v>0</v>
      </c>
      <c r="BP377">
        <f t="shared" si="368"/>
        <v>0</v>
      </c>
    </row>
    <row r="378" spans="14:68">
      <c r="N378" s="7">
        <v>60</v>
      </c>
      <c r="O378" s="18">
        <f t="shared" si="318"/>
        <v>39810.7170553497</v>
      </c>
      <c r="P378" s="86" t="str">
        <f t="shared" si="319"/>
        <v>60</v>
      </c>
      <c r="Q378" s="4" t="str">
        <f t="shared" si="320"/>
        <v>1+326,847133628064i</v>
      </c>
      <c r="R378" s="4">
        <f t="shared" si="331"/>
        <v>326.848663391609</v>
      </c>
      <c r="S378" s="4">
        <f t="shared" si="332"/>
        <v>1.56773680209089</v>
      </c>
      <c r="T378" s="4" t="str">
        <f t="shared" si="321"/>
        <v>1+3,92216560353677i</v>
      </c>
      <c r="U378" s="4">
        <f t="shared" si="333"/>
        <v>4.04763919112944</v>
      </c>
      <c r="V378" s="4">
        <f t="shared" si="334"/>
        <v>1.32115378886569</v>
      </c>
      <c r="W378" t="str">
        <f t="shared" si="322"/>
        <v>1-5,47177121029125i</v>
      </c>
      <c r="X378" s="4">
        <f t="shared" si="335"/>
        <v>5.56239877910351</v>
      </c>
      <c r="Y378" s="4">
        <f t="shared" si="336"/>
        <v>-1.39003499563127</v>
      </c>
      <c r="Z378" t="str">
        <f t="shared" si="323"/>
        <v>0,987062096388073+1,45998979931736i</v>
      </c>
      <c r="AA378" s="4">
        <f t="shared" si="337"/>
        <v>1.76234553826336</v>
      </c>
      <c r="AB378" s="4">
        <f t="shared" si="338"/>
        <v>0.976308752213702</v>
      </c>
      <c r="AC378" s="67" t="str">
        <f t="shared" si="339"/>
        <v>-2,02502337771528-1,18286942596541i</v>
      </c>
      <c r="AD378" s="68">
        <f t="shared" si="340"/>
        <v>7.40354774142798</v>
      </c>
      <c r="AE378" s="31">
        <f t="shared" si="341"/>
        <v>-149.709675586109</v>
      </c>
      <c r="AF378" s="32" t="str">
        <f t="shared" si="342"/>
        <v>326,048966736478</v>
      </c>
      <c r="AG378" s="32" t="str">
        <f t="shared" si="324"/>
        <v>1+210,116014475184i</v>
      </c>
      <c r="AH378" s="32">
        <f t="shared" si="343"/>
        <v>210.118394099459</v>
      </c>
      <c r="AI378" s="32">
        <f t="shared" si="344"/>
        <v>1.56603708722734</v>
      </c>
      <c r="AJ378" s="32" t="str">
        <f t="shared" si="325"/>
        <v>1+3,92216560353677i</v>
      </c>
      <c r="AK378" s="32">
        <f t="shared" si="345"/>
        <v>4.04763919112944</v>
      </c>
      <c r="AL378" s="32">
        <f t="shared" si="346"/>
        <v>1.32115378886569</v>
      </c>
      <c r="AM378" s="32" t="str">
        <f t="shared" si="326"/>
        <v>1-0,647293861855376i</v>
      </c>
      <c r="AN378" s="32">
        <f t="shared" si="347"/>
        <v>1.19121339129295</v>
      </c>
      <c r="AO378" s="32">
        <f t="shared" si="348"/>
        <v>-0.574470485771433</v>
      </c>
      <c r="AP378" s="30" t="str">
        <f t="shared" si="349"/>
        <v>5,10782382837027-5,46703788882708i</v>
      </c>
      <c r="AQ378" s="32">
        <f t="shared" si="350"/>
        <v>17.4802022926933</v>
      </c>
      <c r="AR378" s="31">
        <f t="shared" si="351"/>
        <v>-46.9455137588989</v>
      </c>
      <c r="AS378" t="str">
        <f t="shared" si="327"/>
        <v>-0,000100699300699301</v>
      </c>
      <c r="AT378" t="str">
        <f t="shared" si="328"/>
        <v>0,0562060338721117i</v>
      </c>
      <c r="AU378">
        <f t="shared" si="352"/>
        <v>0.0562060338721117</v>
      </c>
      <c r="AV378">
        <f t="shared" si="353"/>
        <v>1.5707963267949</v>
      </c>
      <c r="AW378" t="str">
        <f t="shared" si="329"/>
        <v>1+2,87764584217237i</v>
      </c>
      <c r="AX378">
        <f t="shared" si="354"/>
        <v>3.04644802893007</v>
      </c>
      <c r="AY378">
        <f t="shared" si="355"/>
        <v>1.23634480986678</v>
      </c>
      <c r="AZ378" t="str">
        <f t="shared" si="330"/>
        <v>1+137,575961858751i</v>
      </c>
      <c r="BA378">
        <f t="shared" si="356"/>
        <v>137.579596166585</v>
      </c>
      <c r="BB378">
        <f t="shared" si="357"/>
        <v>1.56352774312913</v>
      </c>
      <c r="BC378" s="30" t="str">
        <f t="shared" si="358"/>
        <v>-0,0260026812816392+0,0766181178240687i</v>
      </c>
      <c r="BD378" s="32">
        <f t="shared" si="359"/>
        <v>-21.8399245890714</v>
      </c>
      <c r="BE378" s="31">
        <f t="shared" si="360"/>
        <v>108.746201204643</v>
      </c>
      <c r="BF378" s="30" t="str">
        <f t="shared" si="361"/>
        <v>0,143285266527705-0,124395703069109i</v>
      </c>
      <c r="BG378" s="68">
        <f t="shared" si="362"/>
        <v>-14.4363768476434</v>
      </c>
      <c r="BH378" s="31">
        <f t="shared" si="363"/>
        <v>-40.9634743814659</v>
      </c>
      <c r="BI378" s="30" t="str">
        <f t="shared" si="369"/>
        <v>0,286057038062927+0,533509491684475i</v>
      </c>
      <c r="BJ378" s="68">
        <f t="shared" si="364"/>
        <v>-4.359722296378</v>
      </c>
      <c r="BK378" s="31">
        <f t="shared" si="370"/>
        <v>61.8006874457444</v>
      </c>
      <c r="BL378" s="32">
        <f t="shared" si="365"/>
        <v>-14.4363768476434</v>
      </c>
      <c r="BM378" s="31">
        <f t="shared" si="366"/>
        <v>-40.9634743814659</v>
      </c>
      <c r="BO378">
        <f t="shared" si="367"/>
        <v>0</v>
      </c>
      <c r="BP378">
        <f t="shared" si="368"/>
        <v>0</v>
      </c>
    </row>
    <row r="379" spans="14:68">
      <c r="N379" s="7">
        <v>61</v>
      </c>
      <c r="O379" s="18">
        <f t="shared" si="318"/>
        <v>40738.0277804114</v>
      </c>
      <c r="P379" s="86" t="str">
        <f t="shared" si="319"/>
        <v>60</v>
      </c>
      <c r="Q379" s="4" t="str">
        <f t="shared" si="320"/>
        <v>1+334,46038138865i</v>
      </c>
      <c r="R379" s="4">
        <f t="shared" si="331"/>
        <v>334.461876330683</v>
      </c>
      <c r="S379" s="4">
        <f t="shared" si="332"/>
        <v>1.56780644495583</v>
      </c>
      <c r="T379" s="4" t="str">
        <f t="shared" si="321"/>
        <v>1+4,01352457666381i</v>
      </c>
      <c r="U379" s="4">
        <f t="shared" si="333"/>
        <v>4.13622769289656</v>
      </c>
      <c r="V379" s="4">
        <f t="shared" si="334"/>
        <v>1.32661070318178</v>
      </c>
      <c r="W379" t="str">
        <f t="shared" si="322"/>
        <v>1-5,59922513485464i</v>
      </c>
      <c r="X379" s="4">
        <f t="shared" si="335"/>
        <v>5.68782226434582</v>
      </c>
      <c r="Y379" s="4">
        <f t="shared" si="336"/>
        <v>-1.39406352236074</v>
      </c>
      <c r="Z379" t="str">
        <f t="shared" si="323"/>
        <v>0,98645235177602+1,49399733044285i</v>
      </c>
      <c r="AA379" s="4">
        <f t="shared" si="337"/>
        <v>1.7902838505932</v>
      </c>
      <c r="AB379" s="4">
        <f t="shared" si="338"/>
        <v>0.987230264840585</v>
      </c>
      <c r="AC379" s="67" t="str">
        <f t="shared" si="339"/>
        <v>-2,04684623847147-1,1695096992216i</v>
      </c>
      <c r="AD379" s="68">
        <f t="shared" si="340"/>
        <v>7.44866378691006</v>
      </c>
      <c r="AE379" s="31">
        <f t="shared" si="341"/>
        <v>-150.25758182754</v>
      </c>
      <c r="AF379" s="32" t="str">
        <f t="shared" si="342"/>
        <v>326,048966736478</v>
      </c>
      <c r="AG379" s="32" t="str">
        <f t="shared" si="324"/>
        <v>1+215,010245178418i</v>
      </c>
      <c r="AH379" s="32">
        <f t="shared" si="343"/>
        <v>215.012570636424</v>
      </c>
      <c r="AI379" s="32">
        <f t="shared" si="344"/>
        <v>1.56614541916561</v>
      </c>
      <c r="AJ379" s="32" t="str">
        <f t="shared" si="325"/>
        <v>1+4,01352457666381i</v>
      </c>
      <c r="AK379" s="32">
        <f t="shared" si="345"/>
        <v>4.13622769289656</v>
      </c>
      <c r="AL379" s="32">
        <f t="shared" si="346"/>
        <v>1.32661070318178</v>
      </c>
      <c r="AM379" s="32" t="str">
        <f t="shared" si="326"/>
        <v>1-0,662371272782955i</v>
      </c>
      <c r="AN379" s="32">
        <f t="shared" si="347"/>
        <v>1.19947309390753</v>
      </c>
      <c r="AO379" s="32">
        <f t="shared" si="348"/>
        <v>-0.585022971030734</v>
      </c>
      <c r="AP379" s="30" t="str">
        <f t="shared" si="349"/>
        <v>5,10749665213419-5,52403531743052i</v>
      </c>
      <c r="AQ379" s="32">
        <f t="shared" si="350"/>
        <v>17.5282785037251</v>
      </c>
      <c r="AR379" s="31">
        <f t="shared" si="351"/>
        <v>-47.2436754310032</v>
      </c>
      <c r="AS379" t="str">
        <f t="shared" si="327"/>
        <v>-0,000100699300699301</v>
      </c>
      <c r="AT379" t="str">
        <f t="shared" si="328"/>
        <v>0,0575152405852268i</v>
      </c>
      <c r="AU379">
        <f t="shared" si="352"/>
        <v>0.0575152405852268</v>
      </c>
      <c r="AV379">
        <f t="shared" si="353"/>
        <v>1.5707963267949</v>
      </c>
      <c r="AW379" t="str">
        <f t="shared" si="329"/>
        <v>1+2,94467482456085i</v>
      </c>
      <c r="AX379">
        <f t="shared" si="354"/>
        <v>3.10984080338568</v>
      </c>
      <c r="AY379">
        <f t="shared" si="355"/>
        <v>1.24341993814238</v>
      </c>
      <c r="AZ379" t="str">
        <f t="shared" si="330"/>
        <v>1+140,780517676345i</v>
      </c>
      <c r="BA379">
        <f t="shared" si="356"/>
        <v>140.784069259344</v>
      </c>
      <c r="BB379">
        <f t="shared" si="357"/>
        <v>1.56369319066308</v>
      </c>
      <c r="BC379" s="30" t="str">
        <f t="shared" si="358"/>
        <v>-0,0249533791270923+0,0752304154259508i</v>
      </c>
      <c r="BD379" s="32">
        <f t="shared" si="359"/>
        <v>-22.0188225931911</v>
      </c>
      <c r="BE379" s="31">
        <f t="shared" si="360"/>
        <v>108.350305660364</v>
      </c>
      <c r="BF379" s="30" t="str">
        <f t="shared" si="361"/>
        <v>0,139058430720561-0,124801873915765i</v>
      </c>
      <c r="BG379" s="68">
        <f t="shared" si="362"/>
        <v>-14.570158806281</v>
      </c>
      <c r="BH379" s="31">
        <f t="shared" si="363"/>
        <v>-41.9072761671765</v>
      </c>
      <c r="BI379" s="30" t="str">
        <f t="shared" si="369"/>
        <v>0,288126171406863+0,522082442513999i</v>
      </c>
      <c r="BJ379" s="68">
        <f t="shared" si="364"/>
        <v>-4.49054408946603</v>
      </c>
      <c r="BK379" s="31">
        <f t="shared" si="370"/>
        <v>61.1066302293604</v>
      </c>
      <c r="BL379" s="32">
        <f t="shared" si="365"/>
        <v>-14.570158806281</v>
      </c>
      <c r="BM379" s="31">
        <f t="shared" si="366"/>
        <v>-41.9072761671765</v>
      </c>
      <c r="BO379">
        <f t="shared" si="367"/>
        <v>0</v>
      </c>
      <c r="BP379">
        <f t="shared" si="368"/>
        <v>0</v>
      </c>
    </row>
    <row r="380" spans="14:68">
      <c r="N380" s="7">
        <v>62</v>
      </c>
      <c r="O380" s="18">
        <f t="shared" si="318"/>
        <v>41686.9383470336</v>
      </c>
      <c r="P380" s="86" t="str">
        <f t="shared" si="319"/>
        <v>60</v>
      </c>
      <c r="Q380" s="4" t="str">
        <f t="shared" si="320"/>
        <v>1+342,250964470554i</v>
      </c>
      <c r="R380" s="4">
        <f t="shared" si="331"/>
        <v>342.252425383699</v>
      </c>
      <c r="S380" s="4">
        <f t="shared" si="332"/>
        <v>1.56787450258365</v>
      </c>
      <c r="T380" s="4" t="str">
        <f t="shared" si="321"/>
        <v>1+4,10701157364665i</v>
      </c>
      <c r="U380" s="4">
        <f t="shared" si="333"/>
        <v>4.22700178212259</v>
      </c>
      <c r="V380" s="4">
        <f t="shared" si="334"/>
        <v>1.33195777983591</v>
      </c>
      <c r="W380" t="str">
        <f t="shared" si="322"/>
        <v>1-5,729647842699i</v>
      </c>
      <c r="X380" s="4">
        <f t="shared" si="335"/>
        <v>5.81625862572714</v>
      </c>
      <c r="Y380" s="4">
        <f t="shared" si="336"/>
        <v>-1.39800595799248</v>
      </c>
      <c r="Z380" t="str">
        <f t="shared" si="323"/>
        <v>0,985813870785719+1,52879699872832i</v>
      </c>
      <c r="AA380" s="4">
        <f t="shared" si="337"/>
        <v>1.8190792316868</v>
      </c>
      <c r="AB380" s="4">
        <f t="shared" si="338"/>
        <v>0.998064280429452</v>
      </c>
      <c r="AC380" s="67" t="str">
        <f t="shared" si="339"/>
        <v>-2,06829322181769-1,15584736340331i</v>
      </c>
      <c r="AD380" s="68">
        <f t="shared" si="340"/>
        <v>7.4925848178926</v>
      </c>
      <c r="AE380" s="31">
        <f t="shared" si="341"/>
        <v>-150.801744608485</v>
      </c>
      <c r="AF380" s="32" t="str">
        <f t="shared" si="342"/>
        <v>326,048966736478</v>
      </c>
      <c r="AG380" s="32" t="str">
        <f t="shared" si="324"/>
        <v>1+220,018477159642i</v>
      </c>
      <c r="AH380" s="32">
        <f t="shared" si="343"/>
        <v>220.020749684315</v>
      </c>
      <c r="AI380" s="32">
        <f t="shared" si="344"/>
        <v>1.56625128527339</v>
      </c>
      <c r="AJ380" s="32" t="str">
        <f t="shared" si="325"/>
        <v>1+4,10701157364665i</v>
      </c>
      <c r="AK380" s="32">
        <f t="shared" si="345"/>
        <v>4.22700178212259</v>
      </c>
      <c r="AL380" s="32">
        <f t="shared" si="346"/>
        <v>1.33195777983591</v>
      </c>
      <c r="AM380" s="32" t="str">
        <f t="shared" si="326"/>
        <v>1-0,677799881726881i</v>
      </c>
      <c r="AN380" s="32">
        <f t="shared" si="347"/>
        <v>1.20806153803065</v>
      </c>
      <c r="AO380" s="32">
        <f t="shared" si="348"/>
        <v>-0.595670661305119</v>
      </c>
      <c r="AP380" s="30" t="str">
        <f t="shared" si="349"/>
        <v>5,10718420063166-5,58396152567152i</v>
      </c>
      <c r="AQ380" s="32">
        <f t="shared" si="350"/>
        <v>17.5788135325723</v>
      </c>
      <c r="AR380" s="31">
        <f t="shared" si="351"/>
        <v>-47.5534439014431</v>
      </c>
      <c r="AS380" t="str">
        <f t="shared" si="327"/>
        <v>-0,000100699300699301</v>
      </c>
      <c r="AT380" t="str">
        <f t="shared" si="328"/>
        <v>0,0588549426402041i</v>
      </c>
      <c r="AU380">
        <f t="shared" si="352"/>
        <v>0.0588549426402041</v>
      </c>
      <c r="AV380">
        <f t="shared" si="353"/>
        <v>1.5707963267949</v>
      </c>
      <c r="AW380" t="str">
        <f t="shared" si="329"/>
        <v>1+3,01326511251867i</v>
      </c>
      <c r="AX380">
        <f t="shared" si="354"/>
        <v>3.17486482205497</v>
      </c>
      <c r="AY380">
        <f t="shared" si="355"/>
        <v>1.25036702490925</v>
      </c>
      <c r="AZ380" t="str">
        <f t="shared" si="330"/>
        <v>1+144,05971718786i</v>
      </c>
      <c r="BA380">
        <f t="shared" si="356"/>
        <v>144.06318792893</v>
      </c>
      <c r="BB380">
        <f t="shared" si="357"/>
        <v>1.56385487252714</v>
      </c>
      <c r="BC380" s="30" t="str">
        <f t="shared" si="358"/>
        <v>-0,0239417120095478+0,0738536999413182i</v>
      </c>
      <c r="BD380" s="32">
        <f t="shared" si="359"/>
        <v>-22.1985740812728</v>
      </c>
      <c r="BE380" s="31">
        <f t="shared" si="360"/>
        <v>107.961530597145</v>
      </c>
      <c r="BF380" s="30" t="str">
        <f t="shared" si="361"/>
        <v>0,134882085022811-0,125078142293189i</v>
      </c>
      <c r="BG380" s="68">
        <f t="shared" si="362"/>
        <v>-14.7059892633801</v>
      </c>
      <c r="BH380" s="31">
        <f t="shared" si="363"/>
        <v>-42.8402140113401</v>
      </c>
      <c r="BI380" s="30" t="str">
        <f t="shared" si="369"/>
        <v>0,290121485689574+0,510874048218514i</v>
      </c>
      <c r="BJ380" s="68">
        <f t="shared" si="364"/>
        <v>-4.61976054870043</v>
      </c>
      <c r="BK380" s="31">
        <f t="shared" si="370"/>
        <v>60.4080866957019</v>
      </c>
      <c r="BL380" s="32">
        <f t="shared" si="365"/>
        <v>-14.7059892633801</v>
      </c>
      <c r="BM380" s="31">
        <f t="shared" si="366"/>
        <v>-42.8402140113401</v>
      </c>
      <c r="BO380">
        <f t="shared" si="367"/>
        <v>0</v>
      </c>
      <c r="BP380">
        <f t="shared" si="368"/>
        <v>0</v>
      </c>
    </row>
    <row r="381" spans="14:68">
      <c r="N381" s="7">
        <v>63</v>
      </c>
      <c r="O381" s="18">
        <f t="shared" si="318"/>
        <v>42657.9518801593</v>
      </c>
      <c r="P381" s="86" t="str">
        <f t="shared" si="319"/>
        <v>60</v>
      </c>
      <c r="Q381" s="4" t="str">
        <f t="shared" si="320"/>
        <v>1+350,223013544047i</v>
      </c>
      <c r="R381" s="4">
        <f t="shared" si="331"/>
        <v>350.224441202886</v>
      </c>
      <c r="S381" s="4">
        <f t="shared" si="332"/>
        <v>1.56794101105688</v>
      </c>
      <c r="T381" s="4" t="str">
        <f t="shared" si="321"/>
        <v>1+4,20267616252857i</v>
      </c>
      <c r="U381" s="4">
        <f t="shared" si="333"/>
        <v>4.32001006099359</v>
      </c>
      <c r="V381" s="4">
        <f t="shared" si="334"/>
        <v>1.33719663035529</v>
      </c>
      <c r="W381" t="str">
        <f t="shared" si="322"/>
        <v>1-5,86310848567043i</v>
      </c>
      <c r="X381" s="4">
        <f t="shared" si="335"/>
        <v>5.94777614867444</v>
      </c>
      <c r="Y381" s="4">
        <f t="shared" si="336"/>
        <v>-1.40186390240269</v>
      </c>
      <c r="Z381" t="str">
        <f t="shared" si="323"/>
        <v>0,985145299113388+1,56440725541854i</v>
      </c>
      <c r="AA381" s="4">
        <f t="shared" si="337"/>
        <v>1.84875128699654</v>
      </c>
      <c r="AB381" s="4">
        <f t="shared" si="338"/>
        <v>1.00880695688299</v>
      </c>
      <c r="AC381" s="67" t="str">
        <f t="shared" si="339"/>
        <v>-2,08935177731513-1,14189943213519i</v>
      </c>
      <c r="AD381" s="68">
        <f t="shared" si="340"/>
        <v>7.53531366537847</v>
      </c>
      <c r="AE381" s="31">
        <f t="shared" si="341"/>
        <v>-151.341945192806</v>
      </c>
      <c r="AF381" s="32" t="str">
        <f t="shared" si="342"/>
        <v>326,048966736478</v>
      </c>
      <c r="AG381" s="32" t="str">
        <f t="shared" si="324"/>
        <v>1+225,143365849745i</v>
      </c>
      <c r="AH381" s="32">
        <f t="shared" si="343"/>
        <v>225.145586645957</v>
      </c>
      <c r="AI381" s="32">
        <f t="shared" si="344"/>
        <v>1.56635474167279</v>
      </c>
      <c r="AJ381" s="32" t="str">
        <f t="shared" si="325"/>
        <v>1+4,20267616252857i</v>
      </c>
      <c r="AK381" s="32">
        <f t="shared" si="345"/>
        <v>4.32001006099359</v>
      </c>
      <c r="AL381" s="32">
        <f t="shared" si="346"/>
        <v>1.33719663035529</v>
      </c>
      <c r="AM381" s="32" t="str">
        <f t="shared" si="326"/>
        <v>1-0,693587869139841i</v>
      </c>
      <c r="AN381" s="32">
        <f t="shared" si="347"/>
        <v>1.21698978311979</v>
      </c>
      <c r="AO381" s="32">
        <f t="shared" si="348"/>
        <v>-0.606409544757743</v>
      </c>
      <c r="AP381" s="30" t="str">
        <f t="shared" si="349"/>
        <v>5,10688581119538-5,64684829636309i</v>
      </c>
      <c r="AQ381" s="32">
        <f t="shared" si="350"/>
        <v>17.6318216102547</v>
      </c>
      <c r="AR381" s="31">
        <f t="shared" si="351"/>
        <v>-47.8745001907501</v>
      </c>
      <c r="AS381" t="str">
        <f t="shared" si="327"/>
        <v>-0,000100699300699301</v>
      </c>
      <c r="AT381" t="str">
        <f t="shared" si="328"/>
        <v>0,0602258503648066i</v>
      </c>
      <c r="AU381">
        <f t="shared" si="352"/>
        <v>0.0602258503648066</v>
      </c>
      <c r="AV381">
        <f t="shared" si="353"/>
        <v>1.5707963267949</v>
      </c>
      <c r="AW381" t="str">
        <f t="shared" si="329"/>
        <v>1+3,08345307352443i</v>
      </c>
      <c r="AX381">
        <f t="shared" si="354"/>
        <v>3.24155562294206</v>
      </c>
      <c r="AY381">
        <f t="shared" si="355"/>
        <v>1.25718707046826</v>
      </c>
      <c r="AZ381" t="str">
        <f t="shared" si="330"/>
        <v>1+147,415299068285i</v>
      </c>
      <c r="BA381">
        <f t="shared" si="356"/>
        <v>147.418690807482</v>
      </c>
      <c r="BB381">
        <f t="shared" si="357"/>
        <v>1.56401287441333</v>
      </c>
      <c r="BC381" s="30" t="str">
        <f t="shared" si="358"/>
        <v>-0,0229667066727229+0,0724887901552983i</v>
      </c>
      <c r="BD381" s="32">
        <f t="shared" si="359"/>
        <v>-22.3791482869288</v>
      </c>
      <c r="BE381" s="31">
        <f t="shared" si="360"/>
        <v>107.579823611761</v>
      </c>
      <c r="BF381" s="30" t="str">
        <f t="shared" si="361"/>
        <v>0,130760437720231-0,125228913238798i</v>
      </c>
      <c r="BG381" s="68">
        <f t="shared" si="362"/>
        <v>-14.8438346215504</v>
      </c>
      <c r="BH381" s="31">
        <f t="shared" si="363"/>
        <v>-43.7621215810448</v>
      </c>
      <c r="BI381" s="30" t="str">
        <f t="shared" si="369"/>
        <v>0,292044852757053+0,499881482362748i</v>
      </c>
      <c r="BJ381" s="68">
        <f t="shared" si="364"/>
        <v>-4.74732667667412</v>
      </c>
      <c r="BK381" s="31">
        <f t="shared" si="370"/>
        <v>59.705323421011</v>
      </c>
      <c r="BL381" s="32">
        <f t="shared" si="365"/>
        <v>-14.8438346215504</v>
      </c>
      <c r="BM381" s="31">
        <f t="shared" si="366"/>
        <v>-43.7621215810448</v>
      </c>
      <c r="BO381">
        <f t="shared" si="367"/>
        <v>0</v>
      </c>
      <c r="BP381">
        <f t="shared" si="368"/>
        <v>0</v>
      </c>
    </row>
    <row r="382" spans="14:68">
      <c r="N382" s="7">
        <v>64</v>
      </c>
      <c r="O382" s="18">
        <f t="shared" si="318"/>
        <v>43651.5832240166</v>
      </c>
      <c r="P382" s="86" t="str">
        <f t="shared" si="319"/>
        <v>60</v>
      </c>
      <c r="Q382" s="4" t="str">
        <f t="shared" si="320"/>
        <v>1+358,38075549507i</v>
      </c>
      <c r="R382" s="4">
        <f t="shared" si="331"/>
        <v>358.382150656554</v>
      </c>
      <c r="S382" s="4">
        <f t="shared" si="332"/>
        <v>1.56800600563683</v>
      </c>
      <c r="T382" s="4" t="str">
        <f t="shared" si="321"/>
        <v>1+4,30056906594085i</v>
      </c>
      <c r="U382" s="4">
        <f t="shared" si="333"/>
        <v>4.41530228760471</v>
      </c>
      <c r="V382" s="4">
        <f t="shared" si="334"/>
        <v>1.34232888167969</v>
      </c>
      <c r="W382" t="str">
        <f t="shared" si="322"/>
        <v>1-5,99967782636836i</v>
      </c>
      <c r="X382" s="4">
        <f t="shared" si="335"/>
        <v>6.08244474041616</v>
      </c>
      <c r="Y382" s="4">
        <f t="shared" si="336"/>
        <v>-1.40563894152988</v>
      </c>
      <c r="Z382" t="str">
        <f t="shared" si="323"/>
        <v>0,984445218628871+1,60084698154295i</v>
      </c>
      <c r="AA382" s="4">
        <f t="shared" si="337"/>
        <v>1.87931994263787</v>
      </c>
      <c r="AB382" s="4">
        <f t="shared" si="338"/>
        <v>1.01945466192991</v>
      </c>
      <c r="AC382" s="67" t="str">
        <f t="shared" si="339"/>
        <v>-2,11001060588916-1,1276833026668i</v>
      </c>
      <c r="AD382" s="68">
        <f t="shared" si="340"/>
        <v>7.57685542009403</v>
      </c>
      <c r="AE382" s="31">
        <f t="shared" si="341"/>
        <v>-151.877975137814</v>
      </c>
      <c r="AF382" s="32" t="str">
        <f t="shared" si="342"/>
        <v>326,048966736478</v>
      </c>
      <c r="AG382" s="32" t="str">
        <f t="shared" si="324"/>
        <v>1+230,387628532545i</v>
      </c>
      <c r="AH382" s="32">
        <f t="shared" si="343"/>
        <v>230.389798777745</v>
      </c>
      <c r="AI382" s="32">
        <f t="shared" si="344"/>
        <v>1.56645584320891</v>
      </c>
      <c r="AJ382" s="32" t="str">
        <f t="shared" si="325"/>
        <v>1+4,30056906594085i</v>
      </c>
      <c r="AK382" s="32">
        <f t="shared" si="345"/>
        <v>4.41530228760471</v>
      </c>
      <c r="AL382" s="32">
        <f t="shared" si="346"/>
        <v>1.34232888167969</v>
      </c>
      <c r="AM382" s="32" t="str">
        <f t="shared" si="326"/>
        <v>1-0,709743606021739i</v>
      </c>
      <c r="AN382" s="32">
        <f t="shared" si="347"/>
        <v>1.22626913289406</v>
      </c>
      <c r="AO382" s="32">
        <f t="shared" si="348"/>
        <v>-0.617235407734127</v>
      </c>
      <c r="AP382" s="30" t="str">
        <f t="shared" si="349"/>
        <v>5,106600850978-5,71272898143752i</v>
      </c>
      <c r="AQ382" s="32">
        <f t="shared" si="350"/>
        <v>17.6873164328394</v>
      </c>
      <c r="AR382" s="31">
        <f t="shared" si="351"/>
        <v>-48.2065127999174</v>
      </c>
      <c r="AS382" t="str">
        <f t="shared" si="327"/>
        <v>-0,000100699300699301</v>
      </c>
      <c r="AT382" t="str">
        <f t="shared" si="328"/>
        <v>0,0616286906324558i</v>
      </c>
      <c r="AU382">
        <f t="shared" si="352"/>
        <v>0.0616286906324558</v>
      </c>
      <c r="AV382">
        <f t="shared" si="353"/>
        <v>1.5707963267949</v>
      </c>
      <c r="AW382" t="str">
        <f t="shared" si="329"/>
        <v>1+3,1552759221641i</v>
      </c>
      <c r="AX382">
        <f t="shared" si="354"/>
        <v>3.30994956834519</v>
      </c>
      <c r="AY382">
        <f t="shared" si="355"/>
        <v>1.26388115226306</v>
      </c>
      <c r="AZ382" t="str">
        <f t="shared" si="330"/>
        <v>1+150,849042491547i</v>
      </c>
      <c r="BA382">
        <f t="shared" si="356"/>
        <v>150.85235702705</v>
      </c>
      <c r="BB382">
        <f t="shared" si="357"/>
        <v>1.56416728006478</v>
      </c>
      <c r="BC382" s="30" t="str">
        <f t="shared" si="358"/>
        <v>-0,0220273841906114+0,0711364428403416i</v>
      </c>
      <c r="BD382" s="32">
        <f t="shared" si="359"/>
        <v>-22.5605152519907</v>
      </c>
      <c r="BE382" s="31">
        <f t="shared" si="360"/>
        <v>107.205127769364</v>
      </c>
      <c r="BF382" s="30" t="str">
        <f t="shared" si="361"/>
        <v>0,12669739306435-0,12525873550517i</v>
      </c>
      <c r="BG382" s="68">
        <f t="shared" si="362"/>
        <v>-14.9836598318966</v>
      </c>
      <c r="BH382" s="31">
        <f t="shared" si="363"/>
        <v>-44.6728473684495</v>
      </c>
      <c r="BI382" s="30" t="str">
        <f t="shared" si="369"/>
        <v>0,293898159797797+0,489101895595001i</v>
      </c>
      <c r="BJ382" s="68">
        <f t="shared" si="364"/>
        <v>-4.8731988191513</v>
      </c>
      <c r="BK382" s="31">
        <f t="shared" si="370"/>
        <v>58.9986149694469</v>
      </c>
      <c r="BL382" s="32">
        <f t="shared" si="365"/>
        <v>-14.9836598318966</v>
      </c>
      <c r="BM382" s="31">
        <f t="shared" si="366"/>
        <v>-44.6728473684495</v>
      </c>
      <c r="BO382">
        <f t="shared" si="367"/>
        <v>0</v>
      </c>
      <c r="BP382">
        <f t="shared" si="368"/>
        <v>0</v>
      </c>
    </row>
    <row r="383" spans="14:68">
      <c r="N383" s="7">
        <v>65</v>
      </c>
      <c r="O383" s="18">
        <f t="shared" si="318"/>
        <v>44668.3592150964</v>
      </c>
      <c r="P383" s="86" t="str">
        <f t="shared" si="319"/>
        <v>60</v>
      </c>
      <c r="Q383" s="4" t="str">
        <f t="shared" si="320"/>
        <v>1+366,728515666389i</v>
      </c>
      <c r="R383" s="4">
        <f t="shared" si="331"/>
        <v>366.72987907024</v>
      </c>
      <c r="S383" s="4">
        <f t="shared" si="332"/>
        <v>1.5680695207823</v>
      </c>
      <c r="T383" s="4" t="str">
        <f t="shared" si="321"/>
        <v>1+4,40074218799667i</v>
      </c>
      <c r="U383" s="4">
        <f t="shared" si="333"/>
        <v>4.51292940396963</v>
      </c>
      <c r="V383" s="4">
        <f t="shared" si="334"/>
        <v>1.34735617304978</v>
      </c>
      <c r="W383" t="str">
        <f t="shared" si="322"/>
        <v>1-6,139428275665i</v>
      </c>
      <c r="X383" s="4">
        <f t="shared" si="335"/>
        <v>6.22033596777818</v>
      </c>
      <c r="Y383" s="4">
        <f t="shared" si="336"/>
        <v>-1.40933264635096</v>
      </c>
      <c r="Z383" t="str">
        <f t="shared" si="323"/>
        <v>0,983712144367601+1,63813549792671i</v>
      </c>
      <c r="AA383" s="4">
        <f t="shared" si="337"/>
        <v>1.91080545648789</v>
      </c>
      <c r="AB383" s="4">
        <f t="shared" si="338"/>
        <v>1.03000397629596</v>
      </c>
      <c r="AC383" s="67" t="str">
        <f t="shared" si="339"/>
        <v>-2,13025965719842-1,11321666377281i</v>
      </c>
      <c r="AD383" s="68">
        <f t="shared" si="340"/>
        <v>7.61721728629066</v>
      </c>
      <c r="AE383" s="31">
        <f t="shared" si="341"/>
        <v>-152.409636596641</v>
      </c>
      <c r="AF383" s="32" t="str">
        <f t="shared" si="342"/>
        <v>326,048966736478</v>
      </c>
      <c r="AG383" s="32" t="str">
        <f t="shared" si="324"/>
        <v>1+235,754045785536i</v>
      </c>
      <c r="AH383" s="32">
        <f t="shared" si="343"/>
        <v>235.756166630374</v>
      </c>
      <c r="AI383" s="32">
        <f t="shared" si="344"/>
        <v>1.56655464347884</v>
      </c>
      <c r="AJ383" s="32" t="str">
        <f t="shared" si="325"/>
        <v>1+4,40074218799667i</v>
      </c>
      <c r="AK383" s="32">
        <f t="shared" si="345"/>
        <v>4.51292940396963</v>
      </c>
      <c r="AL383" s="32">
        <f t="shared" si="346"/>
        <v>1.34735617304978</v>
      </c>
      <c r="AM383" s="32" t="str">
        <f t="shared" si="326"/>
        <v>1-0,72627565835812i</v>
      </c>
      <c r="AN383" s="32">
        <f t="shared" si="347"/>
        <v>1.23591113431489</v>
      </c>
      <c r="AO383" s="32">
        <f t="shared" si="348"/>
        <v>-0.628143840099026</v>
      </c>
      <c r="AP383" s="30" t="str">
        <f t="shared" si="349"/>
        <v>5,10632871561073-5,78163851967038i</v>
      </c>
      <c r="AQ383" s="32">
        <f t="shared" si="350"/>
        <v>17.7453110323639</v>
      </c>
      <c r="AR383" s="31">
        <f t="shared" si="351"/>
        <v>-48.5491381961231</v>
      </c>
      <c r="AS383" t="str">
        <f t="shared" si="327"/>
        <v>-0,000100699300699301</v>
      </c>
      <c r="AT383" t="str">
        <f t="shared" si="328"/>
        <v>0,0630642072476307i</v>
      </c>
      <c r="AU383">
        <f t="shared" si="352"/>
        <v>0.0630642072476307</v>
      </c>
      <c r="AV383">
        <f t="shared" si="353"/>
        <v>1.5707963267949</v>
      </c>
      <c r="AW383" t="str">
        <f t="shared" si="329"/>
        <v>1+3,22877173986273i</v>
      </c>
      <c r="AX383">
        <f t="shared" si="354"/>
        <v>3.380083867027</v>
      </c>
      <c r="AY383">
        <f t="shared" si="355"/>
        <v>1.27045041901024</v>
      </c>
      <c r="AZ383" t="str">
        <f t="shared" si="330"/>
        <v>1+154,362768073863i</v>
      </c>
      <c r="BA383">
        <f t="shared" si="356"/>
        <v>154.366007162928</v>
      </c>
      <c r="BB383">
        <f t="shared" si="357"/>
        <v>1.56431817131993</v>
      </c>
      <c r="BC383" s="30" t="str">
        <f t="shared" si="358"/>
        <v>-0,0211227630743848+0,0697973547081225i</v>
      </c>
      <c r="BD383" s="32">
        <f t="shared" si="359"/>
        <v>-22.7426458299451</v>
      </c>
      <c r="BE383" s="31">
        <f t="shared" si="360"/>
        <v>106.837381942341</v>
      </c>
      <c r="BF383" s="30" t="str">
        <f t="shared" si="361"/>
        <v>0,122696548374266-0,125172277074551i</v>
      </c>
      <c r="BG383" s="68">
        <f t="shared" si="362"/>
        <v>-15.1254285436545</v>
      </c>
      <c r="BH383" s="31">
        <f t="shared" si="363"/>
        <v>-45.5722546543</v>
      </c>
      <c r="BI383" s="30" t="str">
        <f t="shared" si="369"/>
        <v>0,295683302911805+0,478532417252488i</v>
      </c>
      <c r="BJ383" s="68">
        <f t="shared" si="364"/>
        <v>-4.99733479758123</v>
      </c>
      <c r="BK383" s="31">
        <f t="shared" si="370"/>
        <v>58.2882437462182</v>
      </c>
      <c r="BL383" s="32">
        <f t="shared" si="365"/>
        <v>-15.1254285436545</v>
      </c>
      <c r="BM383" s="31">
        <f t="shared" si="366"/>
        <v>-45.5722546543</v>
      </c>
      <c r="BO383">
        <f t="shared" si="367"/>
        <v>0</v>
      </c>
      <c r="BP383">
        <f t="shared" si="368"/>
        <v>0</v>
      </c>
    </row>
    <row r="384" spans="14:68">
      <c r="N384" s="7">
        <v>66</v>
      </c>
      <c r="O384" s="18">
        <f t="shared" ref="O384:O418" si="371">10^(4+(N384/100))</f>
        <v>45708.8189614876</v>
      </c>
      <c r="P384" s="86" t="str">
        <f t="shared" si="319"/>
        <v>60</v>
      </c>
      <c r="Q384" s="4" t="str">
        <f t="shared" si="320"/>
        <v>1+375,270720150938i</v>
      </c>
      <c r="R384" s="4">
        <f t="shared" si="331"/>
        <v>375.27205252004</v>
      </c>
      <c r="S384" s="4">
        <f t="shared" si="332"/>
        <v>1.56813159016781</v>
      </c>
      <c r="T384" s="4" t="str">
        <f t="shared" si="321"/>
        <v>1+4,50324864181127i</v>
      </c>
      <c r="U384" s="4">
        <f t="shared" si="333"/>
        <v>4.61294356457729</v>
      </c>
      <c r="V384" s="4">
        <f t="shared" si="334"/>
        <v>1.35228015308222</v>
      </c>
      <c r="W384" t="str">
        <f t="shared" si="322"/>
        <v>1-6,28243393109831i</v>
      </c>
      <c r="X384" s="4">
        <f t="shared" si="335"/>
        <v>6.36152309581718</v>
      </c>
      <c r="Y384" s="4">
        <f t="shared" si="336"/>
        <v>-1.41294657195383</v>
      </c>
      <c r="Z384" t="str">
        <f t="shared" si="323"/>
        <v>0,982944521380783+1,67629257543475i</v>
      </c>
      <c r="AA384" s="4">
        <f t="shared" si="337"/>
        <v>1.94322842984816</v>
      </c>
      <c r="AB384" s="4">
        <f t="shared" si="338"/>
        <v>1.04045169593336</v>
      </c>
      <c r="AC384" s="67" t="str">
        <f t="shared" si="339"/>
        <v>-2,15009011983695-1,09851740625271i</v>
      </c>
      <c r="AD384" s="68">
        <f t="shared" si="340"/>
        <v>7.65640843597132</v>
      </c>
      <c r="AE384" s="31">
        <f t="shared" si="341"/>
        <v>-152.936742561481</v>
      </c>
      <c r="AF384" s="32" t="str">
        <f t="shared" si="342"/>
        <v>326,048966736478</v>
      </c>
      <c r="AG384" s="32" t="str">
        <f t="shared" si="324"/>
        <v>1+241,245462954175i</v>
      </c>
      <c r="AH384" s="32">
        <f t="shared" si="343"/>
        <v>241.24753552311</v>
      </c>
      <c r="AI384" s="32">
        <f t="shared" si="344"/>
        <v>1.56665119486008</v>
      </c>
      <c r="AJ384" s="32" t="str">
        <f t="shared" si="325"/>
        <v>1+4,50324864181127i</v>
      </c>
      <c r="AK384" s="32">
        <f t="shared" si="345"/>
        <v>4.61294356457729</v>
      </c>
      <c r="AL384" s="32">
        <f t="shared" si="346"/>
        <v>1.35228015308222</v>
      </c>
      <c r="AM384" s="32" t="str">
        <f t="shared" si="326"/>
        <v>1-0,743192791661956i</v>
      </c>
      <c r="AN384" s="32">
        <f t="shared" si="347"/>
        <v>1.24592757637765</v>
      </c>
      <c r="AO384" s="32">
        <f t="shared" si="348"/>
        <v>-0.639130241566745</v>
      </c>
      <c r="AP384" s="30" t="str">
        <f t="shared" si="349"/>
        <v>5,10606882792179-5,85361345524384i</v>
      </c>
      <c r="AQ384" s="32">
        <f t="shared" si="350"/>
        <v>17.8058176490617</v>
      </c>
      <c r="AR384" s="31">
        <f t="shared" si="351"/>
        <v>-48.9020213446455</v>
      </c>
      <c r="AS384" t="str">
        <f t="shared" si="327"/>
        <v>-0,000100699300699301</v>
      </c>
      <c r="AT384" t="str">
        <f t="shared" si="328"/>
        <v>0,0645331613402417i</v>
      </c>
      <c r="AU384">
        <f t="shared" si="352"/>
        <v>0.0645331613402417</v>
      </c>
      <c r="AV384">
        <f t="shared" si="353"/>
        <v>1.5707963267949</v>
      </c>
      <c r="AW384" t="str">
        <f t="shared" si="329"/>
        <v>1+3,30397949507567i</v>
      </c>
      <c r="AX384">
        <f t="shared" si="354"/>
        <v>3.45199659673651</v>
      </c>
      <c r="AY384">
        <f t="shared" si="355"/>
        <v>1.27689608502111</v>
      </c>
      <c r="AZ384" t="str">
        <f t="shared" si="330"/>
        <v>1+157,958338839043i</v>
      </c>
      <c r="BA384">
        <f t="shared" si="356"/>
        <v>157.961504198934</v>
      </c>
      <c r="BB384">
        <f t="shared" si="357"/>
        <v>1.56446562815584</v>
      </c>
      <c r="BC384" s="30" t="str">
        <f t="shared" si="358"/>
        <v>-0,0202518621393285+0,0684721644522901i</v>
      </c>
      <c r="BD384" s="32">
        <f t="shared" si="359"/>
        <v>-22.9255116868951</v>
      </c>
      <c r="BE384" s="31">
        <f t="shared" si="360"/>
        <v>106.476521138125</v>
      </c>
      <c r="BF384" s="30" t="str">
        <f t="shared" si="361"/>
        <v>0,118761193188709-0,124974301203637i</v>
      </c>
      <c r="BG384" s="68">
        <f t="shared" si="362"/>
        <v>-15.2691032509238</v>
      </c>
      <c r="BH384" s="31">
        <f t="shared" si="363"/>
        <v>-46.460221423356</v>
      </c>
      <c r="BI384" s="30" t="str">
        <f t="shared" si="369"/>
        <v>0,2974021811706+0,46817015720269i</v>
      </c>
      <c r="BJ384" s="68">
        <f t="shared" si="364"/>
        <v>-5.11969403783341</v>
      </c>
      <c r="BK384" s="31">
        <f t="shared" si="370"/>
        <v>57.5744997934795</v>
      </c>
      <c r="BL384" s="32">
        <f t="shared" si="365"/>
        <v>-15.2691032509238</v>
      </c>
      <c r="BM384" s="31">
        <f t="shared" si="366"/>
        <v>-46.460221423356</v>
      </c>
      <c r="BO384">
        <f t="shared" si="367"/>
        <v>0</v>
      </c>
      <c r="BP384">
        <f t="shared" si="368"/>
        <v>0</v>
      </c>
    </row>
    <row r="385" spans="14:68">
      <c r="N385" s="7">
        <v>67</v>
      </c>
      <c r="O385" s="18">
        <f t="shared" si="371"/>
        <v>46773.5141287199</v>
      </c>
      <c r="P385" s="86" t="str">
        <f t="shared" si="319"/>
        <v>60</v>
      </c>
      <c r="Q385" s="4" t="str">
        <f t="shared" si="320"/>
        <v>1+384,011898138607i</v>
      </c>
      <c r="R385" s="4">
        <f t="shared" si="331"/>
        <v>384.01320017939</v>
      </c>
      <c r="S385" s="4">
        <f t="shared" si="332"/>
        <v>1.56819224670145</v>
      </c>
      <c r="T385" s="4" t="str">
        <f t="shared" si="321"/>
        <v>1+4,60814277766329i</v>
      </c>
      <c r="U385" s="4">
        <f t="shared" si="333"/>
        <v>4.71539816551374</v>
      </c>
      <c r="V385" s="4">
        <f t="shared" si="334"/>
        <v>1.35710247702558</v>
      </c>
      <c r="W385" t="str">
        <f t="shared" si="322"/>
        <v>1-6,42877061615972i</v>
      </c>
      <c r="X385" s="4">
        <f t="shared" si="335"/>
        <v>6.50608112731455</v>
      </c>
      <c r="Y385" s="4">
        <f t="shared" si="336"/>
        <v>-1.41648225670126</v>
      </c>
      <c r="Z385" t="str">
        <f t="shared" si="323"/>
        <v>0,982140721437146+1,71533844545463i</v>
      </c>
      <c r="AA385" s="4">
        <f t="shared" si="337"/>
        <v>1.97660981965581</v>
      </c>
      <c r="AB385" s="4">
        <f t="shared" si="338"/>
        <v>1.05079483333908</v>
      </c>
      <c r="AC385" s="67" t="str">
        <f t="shared" si="339"/>
        <v>-2,16949440483012-1,08360353660704i</v>
      </c>
      <c r="AD385" s="68">
        <f t="shared" si="340"/>
        <v>7.69443986428656</v>
      </c>
      <c r="AE385" s="31">
        <f t="shared" si="341"/>
        <v>-153.459117049446</v>
      </c>
      <c r="AF385" s="32" t="str">
        <f t="shared" si="342"/>
        <v>326,048966736478</v>
      </c>
      <c r="AG385" s="32" t="str">
        <f t="shared" si="324"/>
        <v>1+246,864791660533i</v>
      </c>
      <c r="AH385" s="32">
        <f t="shared" si="343"/>
        <v>246.866817052431</v>
      </c>
      <c r="AI385" s="32">
        <f t="shared" si="344"/>
        <v>1.56674554853824</v>
      </c>
      <c r="AJ385" s="32" t="str">
        <f t="shared" si="325"/>
        <v>1+4,60814277766329i</v>
      </c>
      <c r="AK385" s="32">
        <f t="shared" si="345"/>
        <v>4.71539816551374</v>
      </c>
      <c r="AL385" s="32">
        <f t="shared" si="346"/>
        <v>1.35710247702558</v>
      </c>
      <c r="AM385" s="32" t="str">
        <f t="shared" si="326"/>
        <v>1-0,760503975621249i</v>
      </c>
      <c r="AN385" s="32">
        <f t="shared" si="347"/>
        <v>1.25633048873922</v>
      </c>
      <c r="AO385" s="32">
        <f t="shared" si="348"/>
        <v>-0.650189829023297</v>
      </c>
      <c r="AP385" s="30" t="str">
        <f t="shared" si="349"/>
        <v>5,10582063671277-5,92869195715816i</v>
      </c>
      <c r="AQ385" s="32">
        <f t="shared" si="350"/>
        <v>17.8688476057438</v>
      </c>
      <c r="AR385" s="31">
        <f t="shared" si="351"/>
        <v>-49.2647962872019</v>
      </c>
      <c r="AS385" t="str">
        <f t="shared" si="327"/>
        <v>-0,000100699300699301</v>
      </c>
      <c r="AT385" t="str">
        <f t="shared" si="328"/>
        <v>0,0660363317691926i</v>
      </c>
      <c r="AU385">
        <f t="shared" si="352"/>
        <v>0.0660363317691926</v>
      </c>
      <c r="AV385">
        <f t="shared" si="353"/>
        <v>1.5707963267949</v>
      </c>
      <c r="AW385" t="str">
        <f t="shared" si="329"/>
        <v>1+3,38093906395023i</v>
      </c>
      <c r="AX385">
        <f t="shared" si="354"/>
        <v>3.52572672709396</v>
      </c>
      <c r="AY385">
        <f t="shared" si="355"/>
        <v>1.28321942472309</v>
      </c>
      <c r="AZ385" t="str">
        <f t="shared" si="330"/>
        <v>1+161,637661206301i</v>
      </c>
      <c r="BA385">
        <f t="shared" si="356"/>
        <v>161.640754515199</v>
      </c>
      <c r="BB385">
        <f t="shared" si="357"/>
        <v>1.5646097287304</v>
      </c>
      <c r="BC385" s="30" t="str">
        <f t="shared" si="358"/>
        <v>-0,0194137031379507+0,0671614548621559i</v>
      </c>
      <c r="BD385" s="32">
        <f t="shared" si="359"/>
        <v>-23.1090853002385</v>
      </c>
      <c r="BE385" s="31">
        <f t="shared" si="360"/>
        <v>106.122476815522</v>
      </c>
      <c r="BF385" s="30" t="str">
        <f t="shared" si="361"/>
        <v>0,114894310347123-0,124669643164775i</v>
      </c>
      <c r="BG385" s="68">
        <f t="shared" si="362"/>
        <v>-15.4146454359519</v>
      </c>
      <c r="BH385" s="31">
        <f t="shared" si="363"/>
        <v>-47.3366402339244</v>
      </c>
      <c r="BI385" s="30" t="str">
        <f t="shared" si="369"/>
        <v>0,29905669115554+0,458012207879473i</v>
      </c>
      <c r="BJ385" s="68">
        <f t="shared" si="364"/>
        <v>-5.24023769449469</v>
      </c>
      <c r="BK385" s="31">
        <f t="shared" si="370"/>
        <v>56.8576805283199</v>
      </c>
      <c r="BL385" s="32">
        <f t="shared" si="365"/>
        <v>-15.4146454359519</v>
      </c>
      <c r="BM385" s="31">
        <f t="shared" si="366"/>
        <v>-47.3366402339244</v>
      </c>
      <c r="BO385">
        <f t="shared" si="367"/>
        <v>0</v>
      </c>
      <c r="BP385">
        <f t="shared" si="368"/>
        <v>0</v>
      </c>
    </row>
    <row r="386" spans="14:68">
      <c r="N386" s="7">
        <v>68</v>
      </c>
      <c r="O386" s="18">
        <f t="shared" si="371"/>
        <v>47863.0092322638</v>
      </c>
      <c r="P386" s="86" t="str">
        <f t="shared" si="319"/>
        <v>60</v>
      </c>
      <c r="Q386" s="4" t="str">
        <f t="shared" si="320"/>
        <v>1+392,956684317666i</v>
      </c>
      <c r="R386" s="4">
        <f t="shared" si="331"/>
        <v>392.957956720479</v>
      </c>
      <c r="S386" s="4">
        <f t="shared" si="332"/>
        <v>1.56825152254234</v>
      </c>
      <c r="T386" s="4" t="str">
        <f t="shared" si="321"/>
        <v>1+4,715480211812i</v>
      </c>
      <c r="U386" s="4">
        <f t="shared" si="333"/>
        <v>4.82034787416744</v>
      </c>
      <c r="V386" s="4">
        <f t="shared" si="334"/>
        <v>1.36182480419111</v>
      </c>
      <c r="W386" t="str">
        <f t="shared" si="322"/>
        <v>1-6,57851592049665i</v>
      </c>
      <c r="X386" s="4">
        <f t="shared" si="335"/>
        <v>6.65408684315345</v>
      </c>
      <c r="Y386" s="4">
        <f t="shared" si="336"/>
        <v>-1.41994122148042</v>
      </c>
      <c r="Z386" t="str">
        <f t="shared" si="323"/>
        <v>0,981299039569243+1,75529381062348i</v>
      </c>
      <c r="AA386" s="4">
        <f t="shared" si="337"/>
        <v>2.01097095122546</v>
      </c>
      <c r="AB386" s="4">
        <f t="shared" si="338"/>
        <v>1.06103061799771</v>
      </c>
      <c r="AC386" s="67" t="str">
        <f t="shared" si="339"/>
        <v>-2,188466122928-1,06849309439837i</v>
      </c>
      <c r="AD386" s="68">
        <f t="shared" si="340"/>
        <v>7.7313242467897</v>
      </c>
      <c r="AE386" s="31">
        <f t="shared" si="341"/>
        <v>-153.976595233166</v>
      </c>
      <c r="AF386" s="32" t="str">
        <f t="shared" si="342"/>
        <v>326,048966736478</v>
      </c>
      <c r="AG386" s="32" t="str">
        <f t="shared" si="324"/>
        <v>1+252,615011347071i</v>
      </c>
      <c r="AH386" s="32">
        <f t="shared" si="343"/>
        <v>252.616990635786</v>
      </c>
      <c r="AI386" s="32">
        <f t="shared" si="344"/>
        <v>1.56683775453416</v>
      </c>
      <c r="AJ386" s="32" t="str">
        <f t="shared" si="325"/>
        <v>1+4,715480211812i</v>
      </c>
      <c r="AK386" s="32">
        <f t="shared" si="345"/>
        <v>4.82034787416744</v>
      </c>
      <c r="AL386" s="32">
        <f t="shared" si="346"/>
        <v>1.36182480419111</v>
      </c>
      <c r="AM386" s="32" t="str">
        <f t="shared" si="326"/>
        <v>1-0,778218388854875i</v>
      </c>
      <c r="AN386" s="32">
        <f t="shared" si="347"/>
        <v>1.26713214020949</v>
      </c>
      <c r="AO386" s="32">
        <f t="shared" si="348"/>
        <v>-0.661317644829977</v>
      </c>
      <c r="AP386" s="30" t="str">
        <f t="shared" si="349"/>
        <v>5,10558361558986-6,00691383950261i</v>
      </c>
      <c r="AQ386" s="32">
        <f t="shared" si="350"/>
        <v>17.9344111851973</v>
      </c>
      <c r="AR386" s="31">
        <f t="shared" si="351"/>
        <v>-49.6370867664717</v>
      </c>
      <c r="AS386" t="str">
        <f t="shared" si="327"/>
        <v>-0,000100699300699301</v>
      </c>
      <c r="AT386" t="str">
        <f t="shared" si="328"/>
        <v>0,0675745155353415i</v>
      </c>
      <c r="AU386">
        <f t="shared" si="352"/>
        <v>0.0675745155353415</v>
      </c>
      <c r="AV386">
        <f t="shared" si="353"/>
        <v>1.5707963267949</v>
      </c>
      <c r="AW386" t="str">
        <f t="shared" si="329"/>
        <v>1+3,45969125146852i</v>
      </c>
      <c r="AX386">
        <f t="shared" si="354"/>
        <v>3.6013141428495</v>
      </c>
      <c r="AY386">
        <f t="shared" si="355"/>
        <v>1.28942176738628</v>
      </c>
      <c r="AZ386" t="str">
        <f t="shared" si="330"/>
        <v>1+165,402686001058i</v>
      </c>
      <c r="BA386">
        <f t="shared" si="356"/>
        <v>165.405708898951</v>
      </c>
      <c r="BB386">
        <f t="shared" si="357"/>
        <v>1.56475054942369</v>
      </c>
      <c r="BC386" s="30" t="str">
        <f t="shared" si="358"/>
        <v>-0,0186073131664757+0,0658657549889582i</v>
      </c>
      <c r="BD386" s="32">
        <f t="shared" si="359"/>
        <v>-23.2933399552588</v>
      </c>
      <c r="BE386" s="31">
        <f t="shared" si="360"/>
        <v>105.775177189221</v>
      </c>
      <c r="BF386" s="30" t="str">
        <f t="shared" si="361"/>
        <v>0,111098578866581-0,124263187830724i</v>
      </c>
      <c r="BG386" s="68">
        <f t="shared" si="362"/>
        <v>-15.5620157084691</v>
      </c>
      <c r="BH386" s="31">
        <f t="shared" si="363"/>
        <v>-48.2014180439456</v>
      </c>
      <c r="BI386" s="30" t="str">
        <f t="shared" si="369"/>
        <v>0,300648721959553+0,448055646475743i</v>
      </c>
      <c r="BJ386" s="68">
        <f t="shared" si="364"/>
        <v>-5.35892877006157</v>
      </c>
      <c r="BK386" s="31">
        <f t="shared" si="370"/>
        <v>56.1380904227491</v>
      </c>
      <c r="BL386" s="32">
        <f t="shared" si="365"/>
        <v>-15.5620157084691</v>
      </c>
      <c r="BM386" s="31">
        <f t="shared" si="366"/>
        <v>-48.2014180439456</v>
      </c>
      <c r="BO386">
        <f t="shared" si="367"/>
        <v>0</v>
      </c>
      <c r="BP386">
        <f t="shared" si="368"/>
        <v>0</v>
      </c>
    </row>
    <row r="387" spans="14:68">
      <c r="N387" s="7">
        <v>69</v>
      </c>
      <c r="O387" s="18">
        <f t="shared" si="371"/>
        <v>48977.8819368446</v>
      </c>
      <c r="P387" s="86" t="str">
        <f t="shared" si="319"/>
        <v>60</v>
      </c>
      <c r="Q387" s="4" t="str">
        <f t="shared" si="320"/>
        <v>1+402,109821332148i</v>
      </c>
      <c r="R387" s="4">
        <f t="shared" si="331"/>
        <v>402.111064771628</v>
      </c>
      <c r="S387" s="4">
        <f t="shared" si="332"/>
        <v>1.56830944911763</v>
      </c>
      <c r="T387" s="4" t="str">
        <f t="shared" si="321"/>
        <v>1+4,82531785598578i</v>
      </c>
      <c r="U387" s="4">
        <f t="shared" si="333"/>
        <v>4.92784865953645</v>
      </c>
      <c r="V387" s="4">
        <f t="shared" si="334"/>
        <v>1.36644879555187</v>
      </c>
      <c r="W387" t="str">
        <f t="shared" si="322"/>
        <v>1-6,73174924105158i</v>
      </c>
      <c r="X387" s="4">
        <f t="shared" si="335"/>
        <v>6.80561884360258</v>
      </c>
      <c r="Y387" s="4">
        <f t="shared" si="336"/>
        <v>-1.4233249690333</v>
      </c>
      <c r="Z387" t="str">
        <f t="shared" si="323"/>
        <v>0,980417690456984+1,79617985580479i</v>
      </c>
      <c r="AA387" s="4">
        <f t="shared" si="337"/>
        <v>2.04633353150456</v>
      </c>
      <c r="AB387" s="4">
        <f t="shared" si="338"/>
        <v>1.07115649599016</v>
      </c>
      <c r="AC387" s="67" t="str">
        <f t="shared" si="339"/>
        <v>-2,20700005623283-1,05320407373343i</v>
      </c>
      <c r="AD387" s="68">
        <f t="shared" si="340"/>
        <v>7.76707579918187</v>
      </c>
      <c r="AE387" s="31">
        <f t="shared" si="341"/>
        <v>-154.489023518525</v>
      </c>
      <c r="AF387" s="32" t="str">
        <f t="shared" si="342"/>
        <v>326,048966736478</v>
      </c>
      <c r="AG387" s="32" t="str">
        <f t="shared" si="324"/>
        <v>1+258,499170856381i</v>
      </c>
      <c r="AH387" s="32">
        <f t="shared" si="343"/>
        <v>258.501105091325</v>
      </c>
      <c r="AI387" s="32">
        <f t="shared" si="344"/>
        <v>1.56692786173042</v>
      </c>
      <c r="AJ387" s="32" t="str">
        <f t="shared" si="325"/>
        <v>1+4,82531785598578i</v>
      </c>
      <c r="AK387" s="32">
        <f t="shared" si="345"/>
        <v>4.92784865953645</v>
      </c>
      <c r="AL387" s="32">
        <f t="shared" si="346"/>
        <v>1.36644879555187</v>
      </c>
      <c r="AM387" s="32" t="str">
        <f t="shared" si="326"/>
        <v>1-0,796345423779211i</v>
      </c>
      <c r="AN387" s="32">
        <f t="shared" si="347"/>
        <v>1.27834503713751</v>
      </c>
      <c r="AO387" s="32">
        <f t="shared" si="348"/>
        <v>-0.67250856608885</v>
      </c>
      <c r="AP387" s="30" t="str">
        <f t="shared" si="349"/>
        <v>5,10535726184798-6,0883205825963i</v>
      </c>
      <c r="AQ387" s="32">
        <f t="shared" si="350"/>
        <v>18.0025175114535</v>
      </c>
      <c r="AR387" s="31">
        <f t="shared" si="351"/>
        <v>-50.0185068960403</v>
      </c>
      <c r="AS387" t="str">
        <f t="shared" si="327"/>
        <v>-0,000100699300699301</v>
      </c>
      <c r="AT387" t="str">
        <f t="shared" si="328"/>
        <v>0,0691485282040819i</v>
      </c>
      <c r="AU387">
        <f t="shared" si="352"/>
        <v>0.0691485282040819</v>
      </c>
      <c r="AV387">
        <f t="shared" si="353"/>
        <v>1.5707963267949</v>
      </c>
      <c r="AW387" t="str">
        <f t="shared" si="329"/>
        <v>1+3,54027781308276i</v>
      </c>
      <c r="AX387">
        <f t="shared" si="354"/>
        <v>3.67879966752826</v>
      </c>
      <c r="AY387">
        <f t="shared" si="355"/>
        <v>1.2955044920596</v>
      </c>
      <c r="AZ387" t="str">
        <f t="shared" si="330"/>
        <v>1+169,255409489297i</v>
      </c>
      <c r="BA387">
        <f t="shared" si="356"/>
        <v>169.258363578848</v>
      </c>
      <c r="BB387">
        <f t="shared" si="357"/>
        <v>1.56488816487835</v>
      </c>
      <c r="BC387" s="30" t="str">
        <f t="shared" si="358"/>
        <v>-0,0178317268528396+0,064585542347933i</v>
      </c>
      <c r="BD387" s="32">
        <f t="shared" si="359"/>
        <v>-23.4782497398102</v>
      </c>
      <c r="BE387" s="31">
        <f t="shared" si="360"/>
        <v>105.434547522247</v>
      </c>
      <c r="BF387" s="30" t="str">
        <f t="shared" si="361"/>
        <v>0,107376378472071-0,123759848230603i</v>
      </c>
      <c r="BG387" s="68">
        <f t="shared" si="362"/>
        <v>-15.7111739406284</v>
      </c>
      <c r="BH387" s="31">
        <f t="shared" si="363"/>
        <v>-49.0544759962778</v>
      </c>
      <c r="BI387" s="30" t="str">
        <f t="shared" si="369"/>
        <v>0,302180150635631+0,438297537257788i</v>
      </c>
      <c r="BJ387" s="68">
        <f t="shared" si="364"/>
        <v>-5.47573222835671</v>
      </c>
      <c r="BK387" s="31">
        <f t="shared" si="370"/>
        <v>55.416040626207</v>
      </c>
      <c r="BL387" s="32">
        <f t="shared" si="365"/>
        <v>-15.7111739406284</v>
      </c>
      <c r="BM387" s="31">
        <f t="shared" si="366"/>
        <v>-49.0544759962778</v>
      </c>
      <c r="BO387">
        <f t="shared" si="367"/>
        <v>0</v>
      </c>
      <c r="BP387">
        <f t="shared" si="368"/>
        <v>0</v>
      </c>
    </row>
    <row r="388" spans="14:68">
      <c r="N388" s="7">
        <v>70</v>
      </c>
      <c r="O388" s="18">
        <f t="shared" si="371"/>
        <v>50118.7233627273</v>
      </c>
      <c r="P388" s="86" t="str">
        <f t="shared" si="319"/>
        <v>60</v>
      </c>
      <c r="Q388" s="4" t="str">
        <f t="shared" si="320"/>
        <v>1+411,476162296454i</v>
      </c>
      <c r="R388" s="4">
        <f t="shared" si="331"/>
        <v>411.47737743188</v>
      </c>
      <c r="S388" s="4">
        <f t="shared" si="332"/>
        <v>1.56836605713922</v>
      </c>
      <c r="T388" s="4" t="str">
        <f t="shared" si="321"/>
        <v>1+4,93771394755745i</v>
      </c>
      <c r="U388" s="4">
        <f t="shared" si="333"/>
        <v>5.03795782315646</v>
      </c>
      <c r="V388" s="4">
        <f t="shared" si="334"/>
        <v>1.37097611150412</v>
      </c>
      <c r="W388" t="str">
        <f t="shared" si="322"/>
        <v>1-6,88855182415938i</v>
      </c>
      <c r="X388" s="4">
        <f t="shared" si="335"/>
        <v>6.96075759053061</v>
      </c>
      <c r="Y388" s="4">
        <f t="shared" si="336"/>
        <v>-1.4266349833629</v>
      </c>
      <c r="Z388" t="str">
        <f t="shared" si="323"/>
        <v>0,979494804640738+1,8380182593209i</v>
      </c>
      <c r="AA388" s="4">
        <f t="shared" si="337"/>
        <v>2.08271966282436</v>
      </c>
      <c r="AB388" s="4">
        <f t="shared" si="338"/>
        <v>1.08117012881315</v>
      </c>
      <c r="AC388" s="67" t="str">
        <f t="shared" si="339"/>
        <v>-2,22509212472162-1,03775434923103i</v>
      </c>
      <c r="AD388" s="68">
        <f t="shared" si="340"/>
        <v>7.80171014012091</v>
      </c>
      <c r="AE388" s="31">
        <f t="shared" si="341"/>
        <v>-154.996259572228</v>
      </c>
      <c r="AF388" s="32" t="str">
        <f t="shared" si="342"/>
        <v>326,048966736478</v>
      </c>
      <c r="AG388" s="32" t="str">
        <f t="shared" si="324"/>
        <v>1+264,52039004772i</v>
      </c>
      <c r="AH388" s="32">
        <f t="shared" si="343"/>
        <v>264.52228025442</v>
      </c>
      <c r="AI388" s="32">
        <f t="shared" si="344"/>
        <v>1.56701591789718</v>
      </c>
      <c r="AJ388" s="32" t="str">
        <f t="shared" si="325"/>
        <v>1+4,93771394755745i</v>
      </c>
      <c r="AK388" s="32">
        <f t="shared" si="345"/>
        <v>5.03795782315646</v>
      </c>
      <c r="AL388" s="32">
        <f t="shared" si="346"/>
        <v>1.37097611150412</v>
      </c>
      <c r="AM388" s="32" t="str">
        <f t="shared" si="326"/>
        <v>1-0,814894691588116i</v>
      </c>
      <c r="AN388" s="32">
        <f t="shared" si="347"/>
        <v>1.28998192172545</v>
      </c>
      <c r="AO388" s="32">
        <f t="shared" si="348"/>
        <v>-0.683757314841373</v>
      </c>
      <c r="AP388" s="30" t="str">
        <f t="shared" si="349"/>
        <v>5,1051410954046-6,17295535501052i</v>
      </c>
      <c r="AQ388" s="32">
        <f t="shared" si="350"/>
        <v>18.0731744357681</v>
      </c>
      <c r="AR388" s="31">
        <f t="shared" si="351"/>
        <v>-50.4086618744924</v>
      </c>
      <c r="AS388" t="str">
        <f t="shared" si="327"/>
        <v>-0,000100699300699301</v>
      </c>
      <c r="AT388" t="str">
        <f t="shared" si="328"/>
        <v>0,0707592043377653i</v>
      </c>
      <c r="AU388">
        <f t="shared" si="352"/>
        <v>0.0707592043377653</v>
      </c>
      <c r="AV388">
        <f t="shared" si="353"/>
        <v>1.5707963267949</v>
      </c>
      <c r="AW388" t="str">
        <f t="shared" si="329"/>
        <v>1+3,62274147685463i</v>
      </c>
      <c r="AX388">
        <f t="shared" si="354"/>
        <v>3.75822508747452</v>
      </c>
      <c r="AY388">
        <f t="shared" si="355"/>
        <v>1.30146902271906</v>
      </c>
      <c r="AZ388" t="str">
        <f t="shared" si="330"/>
        <v>1+173,197874436007i</v>
      </c>
      <c r="BA388">
        <f t="shared" si="356"/>
        <v>173.200761283404</v>
      </c>
      <c r="BB388">
        <f t="shared" si="357"/>
        <v>1.56502264803906</v>
      </c>
      <c r="BC388" s="30" t="str">
        <f t="shared" si="358"/>
        <v>-0,0170859883350009+0,0633212451409345i</v>
      </c>
      <c r="BD388" s="32">
        <f t="shared" si="359"/>
        <v>-23.663789537275</v>
      </c>
      <c r="BE388" s="31">
        <f t="shared" si="360"/>
        <v>105.100510406208</v>
      </c>
      <c r="BF388" s="30" t="str">
        <f t="shared" si="361"/>
        <v>0,103729795631025-0,123164545185103i</v>
      </c>
      <c r="BG388" s="68">
        <f t="shared" si="362"/>
        <v>-15.8620793971541</v>
      </c>
      <c r="BH388" s="31">
        <f t="shared" si="363"/>
        <v>-49.8957491660192</v>
      </c>
      <c r="BI388" s="30" t="str">
        <f t="shared" si="369"/>
        <v>0,303652838074049+0,428734933969365i</v>
      </c>
      <c r="BJ388" s="68">
        <f t="shared" si="364"/>
        <v>-5.59061510150694</v>
      </c>
      <c r="BK388" s="31">
        <f t="shared" si="370"/>
        <v>54.691848531716</v>
      </c>
      <c r="BL388" s="32">
        <f t="shared" si="365"/>
        <v>-15.8620793971541</v>
      </c>
      <c r="BM388" s="31">
        <f t="shared" si="366"/>
        <v>-49.8957491660192</v>
      </c>
      <c r="BO388">
        <f t="shared" si="367"/>
        <v>0</v>
      </c>
      <c r="BP388">
        <f t="shared" si="368"/>
        <v>0</v>
      </c>
    </row>
    <row r="389" spans="14:68">
      <c r="N389" s="7">
        <v>71</v>
      </c>
      <c r="O389" s="18">
        <f t="shared" si="371"/>
        <v>51286.1383991365</v>
      </c>
      <c r="P389" s="86" t="str">
        <f t="shared" si="319"/>
        <v>60</v>
      </c>
      <c r="Q389" s="4" t="str">
        <f t="shared" si="320"/>
        <v>1+421,060673368539i</v>
      </c>
      <c r="R389" s="4">
        <f t="shared" si="331"/>
        <v>421.061860844185</v>
      </c>
      <c r="S389" s="4">
        <f t="shared" si="332"/>
        <v>1.56842137661997</v>
      </c>
      <c r="T389" s="4" t="str">
        <f t="shared" si="321"/>
        <v>1+5,05272808042247i</v>
      </c>
      <c r="U389" s="4">
        <f t="shared" si="333"/>
        <v>5.15073403066881</v>
      </c>
      <c r="V389" s="4">
        <f t="shared" si="334"/>
        <v>1.37540840978404</v>
      </c>
      <c r="W389" t="str">
        <f t="shared" si="322"/>
        <v>1-7,0490068086251i</v>
      </c>
      <c r="X389" s="4">
        <f t="shared" si="335"/>
        <v>7.11958545057527</v>
      </c>
      <c r="Y389" s="4">
        <f t="shared" si="336"/>
        <v>-1.42987272921057</v>
      </c>
      <c r="Z389" t="str">
        <f t="shared" si="323"/>
        <v>0,978528424555956+1,88083120444714i</v>
      </c>
      <c r="AA389" s="4">
        <f t="shared" si="337"/>
        <v>2.12015185712864</v>
      </c>
      <c r="AB389" s="4">
        <f t="shared" si="338"/>
        <v>1.09106939145826</v>
      </c>
      <c r="AC389" s="67" t="str">
        <f t="shared" si="339"/>
        <v>-2,24273934823834-1,02216160676884i</v>
      </c>
      <c r="AD389" s="68">
        <f t="shared" si="340"/>
        <v>7.83524415760415</v>
      </c>
      <c r="AE389" s="31">
        <f t="shared" si="341"/>
        <v>-155.498172302081</v>
      </c>
      <c r="AF389" s="32" t="str">
        <f t="shared" si="342"/>
        <v>326,048966736478</v>
      </c>
      <c r="AG389" s="32" t="str">
        <f t="shared" si="324"/>
        <v>1+270,681861451204i</v>
      </c>
      <c r="AH389" s="32">
        <f t="shared" si="343"/>
        <v>270.683708631844</v>
      </c>
      <c r="AI389" s="32">
        <f t="shared" si="344"/>
        <v>1.56710196971751</v>
      </c>
      <c r="AJ389" s="32" t="str">
        <f t="shared" si="325"/>
        <v>1+5,05272808042247i</v>
      </c>
      <c r="AK389" s="32">
        <f t="shared" si="345"/>
        <v>5.15073403066881</v>
      </c>
      <c r="AL389" s="32">
        <f t="shared" si="346"/>
        <v>1.37540840978404</v>
      </c>
      <c r="AM389" s="32" t="str">
        <f t="shared" si="326"/>
        <v>1-0,833876027348905i</v>
      </c>
      <c r="AN389" s="32">
        <f t="shared" si="347"/>
        <v>1.30205577030602</v>
      </c>
      <c r="AO389" s="32">
        <f t="shared" si="348"/>
        <v>-0.695058469162092</v>
      </c>
      <c r="AP389" s="30" t="str">
        <f t="shared" si="349"/>
        <v>5,10493465778195-6,26086303648386i</v>
      </c>
      <c r="AQ389" s="32">
        <f t="shared" si="350"/>
        <v>18.1463884281316</v>
      </c>
      <c r="AR389" s="31">
        <f t="shared" si="351"/>
        <v>-50.8071487418381</v>
      </c>
      <c r="AS389" t="str">
        <f t="shared" si="327"/>
        <v>-0,000100699300699301</v>
      </c>
      <c r="AT389" t="str">
        <f t="shared" si="328"/>
        <v>0,072407397938197i</v>
      </c>
      <c r="AU389">
        <f t="shared" si="352"/>
        <v>0.072407397938197</v>
      </c>
      <c r="AV389">
        <f t="shared" si="353"/>
        <v>1.5707963267949</v>
      </c>
      <c r="AW389" t="str">
        <f t="shared" si="329"/>
        <v>1+3,70712596611017i</v>
      </c>
      <c r="AX389">
        <f t="shared" si="354"/>
        <v>3.83963317630842</v>
      </c>
      <c r="AY389">
        <f t="shared" si="355"/>
        <v>1.3073168236294</v>
      </c>
      <c r="AZ389" t="str">
        <f t="shared" si="330"/>
        <v>1+177,232171188288i</v>
      </c>
      <c r="BA389">
        <f t="shared" si="356"/>
        <v>177.234992324074</v>
      </c>
      <c r="BB389">
        <f t="shared" si="357"/>
        <v>1.56515407019111</v>
      </c>
      <c r="BC389" s="30" t="str">
        <f t="shared" si="358"/>
        <v>-0,0163691530389329+0,0620732444858532i</v>
      </c>
      <c r="BD389" s="32">
        <f t="shared" si="359"/>
        <v>-23.8499350179646</v>
      </c>
      <c r="BE389" s="31">
        <f t="shared" si="360"/>
        <v>104.77298602926</v>
      </c>
      <c r="BF389" s="30" t="str">
        <f t="shared" si="361"/>
        <v>0,100160630938765-0,122482188109521i</v>
      </c>
      <c r="BG389" s="68">
        <f t="shared" si="362"/>
        <v>-16.0146908603604</v>
      </c>
      <c r="BH389" s="31">
        <f t="shared" si="363"/>
        <v>-50.7251862728211</v>
      </c>
      <c r="BI389" s="30" t="str">
        <f t="shared" si="369"/>
        <v>0,305068625289119+0,419364882296807i</v>
      </c>
      <c r="BJ389" s="68">
        <f t="shared" si="364"/>
        <v>-5.70354658983295</v>
      </c>
      <c r="BK389" s="31">
        <f t="shared" si="370"/>
        <v>53.9658372874218</v>
      </c>
      <c r="BL389" s="32">
        <f t="shared" si="365"/>
        <v>-16.0146908603604</v>
      </c>
      <c r="BM389" s="31">
        <f t="shared" si="366"/>
        <v>-50.7251862728211</v>
      </c>
      <c r="BO389">
        <f t="shared" si="367"/>
        <v>0</v>
      </c>
      <c r="BP389">
        <f t="shared" si="368"/>
        <v>0</v>
      </c>
    </row>
    <row r="390" spans="14:68">
      <c r="N390" s="7">
        <v>72</v>
      </c>
      <c r="O390" s="18">
        <f t="shared" si="371"/>
        <v>52480.7460249773</v>
      </c>
      <c r="P390" s="86" t="str">
        <f t="shared" si="319"/>
        <v>60</v>
      </c>
      <c r="Q390" s="4" t="str">
        <f t="shared" si="320"/>
        <v>1+430,868436383042i</v>
      </c>
      <c r="R390" s="4">
        <f t="shared" si="331"/>
        <v>430.869596828516</v>
      </c>
      <c r="S390" s="4">
        <f t="shared" si="332"/>
        <v>1.56847543688965</v>
      </c>
      <c r="T390" s="4" t="str">
        <f t="shared" si="321"/>
        <v>1+5,17042123659651i</v>
      </c>
      <c r="U390" s="4">
        <f t="shared" si="333"/>
        <v>5.26623734404823</v>
      </c>
      <c r="V390" s="4">
        <f t="shared" si="334"/>
        <v>1.37974734353364</v>
      </c>
      <c r="W390" t="str">
        <f t="shared" si="322"/>
        <v>1-7,2131992698054i</v>
      </c>
      <c r="X390" s="4">
        <f t="shared" si="335"/>
        <v>7.28218673929206</v>
      </c>
      <c r="Y390" s="4">
        <f t="shared" si="336"/>
        <v>-1.4330396516</v>
      </c>
      <c r="Z390" t="str">
        <f t="shared" si="323"/>
        <v>0,977516500380913+1,92464139117374i</v>
      </c>
      <c r="AA390" s="4">
        <f t="shared" si="337"/>
        <v>2.15865305066287</v>
      </c>
      <c r="AB390" s="4">
        <f t="shared" si="338"/>
        <v>1.100852369802</v>
      </c>
      <c r="AC390" s="67" t="str">
        <f t="shared" si="339"/>
        <v>-2,25993980453682-1,00644327923241i</v>
      </c>
      <c r="AD390" s="68">
        <f t="shared" si="340"/>
        <v>7.86769587937784</v>
      </c>
      <c r="AE390" s="31">
        <f t="shared" si="341"/>
        <v>-155.994641793058</v>
      </c>
      <c r="AF390" s="32" t="str">
        <f t="shared" si="342"/>
        <v>326,048966736478</v>
      </c>
      <c r="AG390" s="32" t="str">
        <f t="shared" si="324"/>
        <v>1+276,986851960527i</v>
      </c>
      <c r="AH390" s="32">
        <f t="shared" si="343"/>
        <v>276.988657094479</v>
      </c>
      <c r="AI390" s="32">
        <f t="shared" si="344"/>
        <v>1.56718606281215</v>
      </c>
      <c r="AJ390" s="32" t="str">
        <f t="shared" si="325"/>
        <v>1+5,17042123659651i</v>
      </c>
      <c r="AK390" s="32">
        <f t="shared" si="345"/>
        <v>5.26623734404823</v>
      </c>
      <c r="AL390" s="32">
        <f t="shared" si="346"/>
        <v>1.37974734353364</v>
      </c>
      <c r="AM390" s="32" t="str">
        <f t="shared" si="326"/>
        <v>1-0,85329949521705i</v>
      </c>
      <c r="AN390" s="32">
        <f t="shared" si="347"/>
        <v>1.31457979162076</v>
      </c>
      <c r="AO390" s="32">
        <f t="shared" si="348"/>
        <v>-0.706406475100105</v>
      </c>
      <c r="AP390" s="30" t="str">
        <f t="shared" si="349"/>
        <v>5,10473751113502-6,35209024174372i</v>
      </c>
      <c r="AQ390" s="32">
        <f t="shared" si="350"/>
        <v>18.222164475099</v>
      </c>
      <c r="AR390" s="31">
        <f t="shared" si="351"/>
        <v>-51.2135571759455</v>
      </c>
      <c r="AS390" t="str">
        <f t="shared" si="327"/>
        <v>-0,000100699300699301</v>
      </c>
      <c r="AT390" t="str">
        <f t="shared" si="328"/>
        <v>0,074093982899441i</v>
      </c>
      <c r="AU390">
        <f t="shared" si="352"/>
        <v>0.074093982899441</v>
      </c>
      <c r="AV390">
        <f t="shared" si="353"/>
        <v>1.5707963267949</v>
      </c>
      <c r="AW390" t="str">
        <f t="shared" si="329"/>
        <v>1+3,79347602262256i</v>
      </c>
      <c r="AX390">
        <f t="shared" si="354"/>
        <v>3.92306771980962</v>
      </c>
      <c r="AY390">
        <f t="shared" si="355"/>
        <v>1.31304939491924</v>
      </c>
      <c r="AZ390" t="str">
        <f t="shared" si="330"/>
        <v>1+181,360438783678i</v>
      </c>
      <c r="BA390">
        <f t="shared" si="356"/>
        <v>181.363195703561</v>
      </c>
      <c r="BB390">
        <f t="shared" si="357"/>
        <v>1.56528250099808</v>
      </c>
      <c r="BC390" s="30" t="str">
        <f t="shared" si="358"/>
        <v>-0,0156802892660526+0,0608418766404988i</v>
      </c>
      <c r="BD390" s="32">
        <f t="shared" si="359"/>
        <v>-24.0366626291239</v>
      </c>
      <c r="BE390" s="31">
        <f t="shared" si="360"/>
        <v>104.451892431793</v>
      </c>
      <c r="BF390" s="30" t="str">
        <f t="shared" si="361"/>
        <v>0,0966704076997211-0,121717657054343i</v>
      </c>
      <c r="BG390" s="68">
        <f t="shared" si="362"/>
        <v>-16.1689667497461</v>
      </c>
      <c r="BH390" s="31">
        <f t="shared" si="363"/>
        <v>-51.5427493612648</v>
      </c>
      <c r="BI390" s="30" t="str">
        <f t="shared" si="369"/>
        <v>0,306429330095621+0,410184422369215i</v>
      </c>
      <c r="BJ390" s="68">
        <f t="shared" si="364"/>
        <v>-5.81449815402496</v>
      </c>
      <c r="BK390" s="31">
        <f t="shared" si="370"/>
        <v>53.2383352558474</v>
      </c>
      <c r="BL390" s="32">
        <f t="shared" si="365"/>
        <v>-16.1689667497461</v>
      </c>
      <c r="BM390" s="31">
        <f t="shared" si="366"/>
        <v>-51.5427493612648</v>
      </c>
      <c r="BO390">
        <f t="shared" si="367"/>
        <v>0</v>
      </c>
      <c r="BP390">
        <f t="shared" si="368"/>
        <v>0</v>
      </c>
    </row>
    <row r="391" spans="14:68">
      <c r="N391" s="7">
        <v>73</v>
      </c>
      <c r="O391" s="18">
        <f t="shared" si="371"/>
        <v>53703.1796370254</v>
      </c>
      <c r="P391" s="86" t="str">
        <f t="shared" si="319"/>
        <v>60</v>
      </c>
      <c r="Q391" s="4" t="str">
        <f t="shared" si="320"/>
        <v>1+440,904651545734i</v>
      </c>
      <c r="R391" s="4">
        <f t="shared" si="331"/>
        <v>440.905785576312</v>
      </c>
      <c r="S391" s="4">
        <f t="shared" si="332"/>
        <v>1.56852826661047</v>
      </c>
      <c r="T391" s="4" t="str">
        <f t="shared" si="321"/>
        <v>1+5,29085581854881i</v>
      </c>
      <c r="U391" s="4">
        <f t="shared" si="333"/>
        <v>5.38452925450979</v>
      </c>
      <c r="V391" s="4">
        <f t="shared" si="334"/>
        <v>1.383994559509</v>
      </c>
      <c r="W391" t="str">
        <f t="shared" si="322"/>
        <v>1-7,38121626471653i</v>
      </c>
      <c r="X391" s="4">
        <f t="shared" si="335"/>
        <v>7.44864776630737</v>
      </c>
      <c r="Y391" s="4">
        <f t="shared" si="336"/>
        <v>-1.43613717544353</v>
      </c>
      <c r="Z391" t="str">
        <f t="shared" si="323"/>
        <v>0,976456885688762+1,96947204824157i</v>
      </c>
      <c r="AA391" s="4">
        <f t="shared" si="337"/>
        <v>2.19824661910666</v>
      </c>
      <c r="AB391" s="4">
        <f t="shared" si="338"/>
        <v>1.11051735736004</v>
      </c>
      <c r="AC391" s="67" t="str">
        <f t="shared" si="339"/>
        <v>-2,2766925839521-0,990616487422757i</v>
      </c>
      <c r="AD391" s="68">
        <f t="shared" si="340"/>
        <v>7.89908434776198</v>
      </c>
      <c r="AE391" s="31">
        <f t="shared" si="341"/>
        <v>-156.485559202322</v>
      </c>
      <c r="AF391" s="32" t="str">
        <f t="shared" si="342"/>
        <v>326,048966736478</v>
      </c>
      <c r="AG391" s="32" t="str">
        <f t="shared" si="324"/>
        <v>1+283,438704565115i</v>
      </c>
      <c r="AH391" s="32">
        <f t="shared" si="343"/>
        <v>283.44046860946</v>
      </c>
      <c r="AI391" s="32">
        <f t="shared" si="344"/>
        <v>1.56726824176359</v>
      </c>
      <c r="AJ391" s="32" t="str">
        <f t="shared" si="325"/>
        <v>1+5,29085581854881i</v>
      </c>
      <c r="AK391" s="32">
        <f t="shared" si="345"/>
        <v>5.38452925450979</v>
      </c>
      <c r="AL391" s="32">
        <f t="shared" si="346"/>
        <v>1.383994559509</v>
      </c>
      <c r="AM391" s="32" t="str">
        <f t="shared" si="326"/>
        <v>1-0,873175393772314i</v>
      </c>
      <c r="AN391" s="32">
        <f t="shared" si="347"/>
        <v>1.32756742513871</v>
      </c>
      <c r="AO391" s="32">
        <f t="shared" si="348"/>
        <v>-0.717795659411991</v>
      </c>
      <c r="AP391" s="30" t="str">
        <f t="shared" si="349"/>
        <v>5,10454923732267-6,44668534524491i</v>
      </c>
      <c r="AQ391" s="32">
        <f t="shared" si="350"/>
        <v>18.3005059846831</v>
      </c>
      <c r="AR391" s="31">
        <f t="shared" si="351"/>
        <v>-51.6274703261265</v>
      </c>
      <c r="AS391" t="str">
        <f t="shared" si="327"/>
        <v>-0,000100699300699301</v>
      </c>
      <c r="AT391" t="str">
        <f t="shared" si="328"/>
        <v>0,0758198534711681i</v>
      </c>
      <c r="AU391">
        <f t="shared" si="352"/>
        <v>0.0758198534711681</v>
      </c>
      <c r="AV391">
        <f t="shared" si="353"/>
        <v>1.5707963267949</v>
      </c>
      <c r="AW391" t="str">
        <f t="shared" si="329"/>
        <v>1+3,88183743033474i</v>
      </c>
      <c r="AX391">
        <f t="shared" si="354"/>
        <v>4.0085735412423</v>
      </c>
      <c r="AY391">
        <f t="shared" si="355"/>
        <v>1.31866826836857</v>
      </c>
      <c r="AZ391" t="str">
        <f t="shared" si="330"/>
        <v>1+185,584866084301i</v>
      </c>
      <c r="BA391">
        <f t="shared" si="356"/>
        <v>185.587560249948</v>
      </c>
      <c r="BB391">
        <f t="shared" si="357"/>
        <v>1.56540800853873</v>
      </c>
      <c r="BC391" s="30" t="str">
        <f t="shared" si="358"/>
        <v>-0,0150184796001047+0,0596274352100004i</v>
      </c>
      <c r="BD391" s="32">
        <f t="shared" si="359"/>
        <v>-24.2239495836958</v>
      </c>
      <c r="BE391" s="31">
        <f t="shared" si="360"/>
        <v>104.137145749905</v>
      </c>
      <c r="BF391" s="30" t="str">
        <f t="shared" si="361"/>
        <v>0,0932603815495529-0,120875786034806i</v>
      </c>
      <c r="BG391" s="68">
        <f t="shared" si="362"/>
        <v>-16.3248652359339</v>
      </c>
      <c r="BH391" s="31">
        <f t="shared" si="363"/>
        <v>-52.3484134524172</v>
      </c>
      <c r="BI391" s="30" t="str">
        <f t="shared" si="369"/>
        <v>0,307736744154389+0,401190591270569i</v>
      </c>
      <c r="BJ391" s="68">
        <f t="shared" si="364"/>
        <v>-5.9234435990127</v>
      </c>
      <c r="BK391" s="31">
        <f t="shared" si="370"/>
        <v>52.5096754237783</v>
      </c>
      <c r="BL391" s="32">
        <f t="shared" si="365"/>
        <v>-16.3248652359339</v>
      </c>
      <c r="BM391" s="31">
        <f t="shared" si="366"/>
        <v>-52.3484134524172</v>
      </c>
      <c r="BO391">
        <f t="shared" si="367"/>
        <v>0</v>
      </c>
      <c r="BP391">
        <f t="shared" si="368"/>
        <v>0</v>
      </c>
    </row>
    <row r="392" spans="14:68">
      <c r="N392" s="7">
        <v>74</v>
      </c>
      <c r="O392" s="18">
        <f t="shared" si="371"/>
        <v>54954.0873857625</v>
      </c>
      <c r="P392" s="86" t="str">
        <f t="shared" si="319"/>
        <v>60</v>
      </c>
      <c r="Q392" s="4" t="str">
        <f t="shared" si="320"/>
        <v>1+451,174640190736i</v>
      </c>
      <c r="R392" s="4">
        <f t="shared" si="331"/>
        <v>451.175748407691</v>
      </c>
      <c r="S392" s="4">
        <f t="shared" si="332"/>
        <v>1.56857989379225</v>
      </c>
      <c r="T392" s="4" t="str">
        <f t="shared" si="321"/>
        <v>1+5,41409568228884i</v>
      </c>
      <c r="U392" s="4">
        <f t="shared" si="333"/>
        <v>5.5056727161155</v>
      </c>
      <c r="V392" s="4">
        <f t="shared" si="334"/>
        <v>1.38815169642456</v>
      </c>
      <c r="W392" t="str">
        <f t="shared" si="322"/>
        <v>1-7,55314687819313i</v>
      </c>
      <c r="X392" s="4">
        <f t="shared" si="335"/>
        <v>7.61905688150171</v>
      </c>
      <c r="Y392" s="4">
        <f t="shared" si="336"/>
        <v>-1.43916670520679</v>
      </c>
      <c r="Z392" t="str">
        <f t="shared" si="323"/>
        <v>0,975347332894677+2,01534694545842i</v>
      </c>
      <c r="AA392" s="4">
        <f t="shared" si="337"/>
        <v>2.23895639313349</v>
      </c>
      <c r="AB392" s="4">
        <f t="shared" si="338"/>
        <v>1.12006285146061</v>
      </c>
      <c r="AC392" s="67" t="str">
        <f t="shared" si="339"/>
        <v>-2,29299774126902-0,974697986215129i</v>
      </c>
      <c r="AD392" s="68">
        <f t="shared" si="340"/>
        <v>7.9294294992218</v>
      </c>
      <c r="AE392" s="31">
        <f t="shared" si="341"/>
        <v>-156.970826616501</v>
      </c>
      <c r="AF392" s="32" t="str">
        <f t="shared" si="342"/>
        <v>326,048966736478</v>
      </c>
      <c r="AG392" s="32" t="str">
        <f t="shared" si="324"/>
        <v>1+290,040840122616i</v>
      </c>
      <c r="AH392" s="32">
        <f t="shared" si="343"/>
        <v>290.042564012651</v>
      </c>
      <c r="AI392" s="32">
        <f t="shared" si="344"/>
        <v>1.56734855013977</v>
      </c>
      <c r="AJ392" s="32" t="str">
        <f t="shared" si="325"/>
        <v>1+5,41409568228884i</v>
      </c>
      <c r="AK392" s="32">
        <f t="shared" si="345"/>
        <v>5.5056727161155</v>
      </c>
      <c r="AL392" s="32">
        <f t="shared" si="346"/>
        <v>1.38815169642456</v>
      </c>
      <c r="AM392" s="32" t="str">
        <f t="shared" si="326"/>
        <v>1-0,893514261479195i</v>
      </c>
      <c r="AN392" s="32">
        <f t="shared" si="347"/>
        <v>1.34103233945595</v>
      </c>
      <c r="AO392" s="32">
        <f t="shared" si="348"/>
        <v>-0.72922024302135</v>
      </c>
      <c r="AP392" s="30" t="str">
        <f t="shared" si="349"/>
        <v>5,10436943702157-6,54469850684078i</v>
      </c>
      <c r="AQ392" s="32">
        <f t="shared" si="350"/>
        <v>18.3814146990129</v>
      </c>
      <c r="AR392" s="31">
        <f t="shared" si="351"/>
        <v>-52.0484656805323</v>
      </c>
      <c r="AS392" t="str">
        <f t="shared" si="327"/>
        <v>-0,000100699300699301</v>
      </c>
      <c r="AT392" t="str">
        <f t="shared" si="328"/>
        <v>0,0775859247327998i</v>
      </c>
      <c r="AU392">
        <f t="shared" si="352"/>
        <v>0.0775859247327998</v>
      </c>
      <c r="AV392">
        <f t="shared" si="353"/>
        <v>1.5707963267949</v>
      </c>
      <c r="AW392" t="str">
        <f t="shared" si="329"/>
        <v>1+3,97225703963466i</v>
      </c>
      <c r="AX392">
        <f t="shared" si="354"/>
        <v>4.09619652713674</v>
      </c>
      <c r="AY392">
        <f t="shared" si="355"/>
        <v>1.32417500340649</v>
      </c>
      <c r="AZ392" t="str">
        <f t="shared" si="330"/>
        <v>1+189,907692937427i</v>
      </c>
      <c r="BA392">
        <f t="shared" si="356"/>
        <v>189.910325777236</v>
      </c>
      <c r="BB392">
        <f t="shared" si="357"/>
        <v>1.565530659343</v>
      </c>
      <c r="BC392" s="30" t="str">
        <f t="shared" si="358"/>
        <v>-0,0143828221436598+0,0584301733280662i</v>
      </c>
      <c r="BD392" s="32">
        <f t="shared" si="359"/>
        <v>-24.4117738479882</v>
      </c>
      <c r="BE392" s="31">
        <f t="shared" si="360"/>
        <v>103.828660446774</v>
      </c>
      <c r="BF392" s="30" t="str">
        <f t="shared" si="361"/>
        <v>0,089931550965553-0,119961347683698i</v>
      </c>
      <c r="BG392" s="68">
        <f t="shared" si="362"/>
        <v>-16.4823443487664</v>
      </c>
      <c r="BH392" s="31">
        <f t="shared" si="363"/>
        <v>-53.1421661697271</v>
      </c>
      <c r="BI392" s="30" t="str">
        <f t="shared" si="369"/>
        <v>0,308992630366429+0,392380425543421i</v>
      </c>
      <c r="BJ392" s="68">
        <f t="shared" si="364"/>
        <v>-6.03035914897533</v>
      </c>
      <c r="BK392" s="31">
        <f t="shared" si="370"/>
        <v>51.7801947662414</v>
      </c>
      <c r="BL392" s="32">
        <f t="shared" si="365"/>
        <v>-16.4823443487664</v>
      </c>
      <c r="BM392" s="31">
        <f t="shared" si="366"/>
        <v>-53.1421661697271</v>
      </c>
      <c r="BO392">
        <f t="shared" si="367"/>
        <v>0</v>
      </c>
      <c r="BP392">
        <f t="shared" si="368"/>
        <v>0</v>
      </c>
    </row>
    <row r="393" spans="14:68">
      <c r="N393" s="7">
        <v>75</v>
      </c>
      <c r="O393" s="18">
        <f t="shared" si="371"/>
        <v>56234.132519035</v>
      </c>
      <c r="P393" s="86" t="str">
        <f t="shared" si="319"/>
        <v>60</v>
      </c>
      <c r="Q393" s="4" t="str">
        <f t="shared" si="320"/>
        <v>1+461,683847601971i</v>
      </c>
      <c r="R393" s="4">
        <f t="shared" si="331"/>
        <v>461.684930592888</v>
      </c>
      <c r="S393" s="4">
        <f t="shared" si="332"/>
        <v>1.56863034580732</v>
      </c>
      <c r="T393" s="4" t="str">
        <f t="shared" si="321"/>
        <v>1+5,54020617122366i</v>
      </c>
      <c r="U393" s="4">
        <f t="shared" si="333"/>
        <v>5.629732180101</v>
      </c>
      <c r="V393" s="4">
        <f t="shared" si="334"/>
        <v>1.39222038342679</v>
      </c>
      <c r="W393" t="str">
        <f t="shared" si="322"/>
        <v>1-7,72908227012228i</v>
      </c>
      <c r="X393" s="4">
        <f t="shared" si="335"/>
        <v>7.79350452224919</v>
      </c>
      <c r="Y393" s="4">
        <f t="shared" si="336"/>
        <v>-1.44212962462755</v>
      </c>
      <c r="Z393" t="str">
        <f t="shared" si="323"/>
        <v>0,974185488488421+2,06229040630202i</v>
      </c>
      <c r="AA393" s="4">
        <f t="shared" si="337"/>
        <v>2.28080667438228</v>
      </c>
      <c r="AB393" s="4">
        <f t="shared" si="338"/>
        <v>1.12948754889217</v>
      </c>
      <c r="AC393" s="67" t="str">
        <f t="shared" si="339"/>
        <v>-2,30885624534026-0,958704116002604i</v>
      </c>
      <c r="AD393" s="68">
        <f t="shared" si="340"/>
        <v>7.95875204895884</v>
      </c>
      <c r="AE393" s="31">
        <f t="shared" si="341"/>
        <v>-157.450356874508</v>
      </c>
      <c r="AF393" s="32" t="str">
        <f t="shared" si="342"/>
        <v>326,048966736478</v>
      </c>
      <c r="AG393" s="32" t="str">
        <f t="shared" si="324"/>
        <v>1+296,796759172696i</v>
      </c>
      <c r="AH393" s="32">
        <f t="shared" si="343"/>
        <v>296.798443822429</v>
      </c>
      <c r="AI393" s="32">
        <f t="shared" si="344"/>
        <v>1.56742703051709</v>
      </c>
      <c r="AJ393" s="32" t="str">
        <f t="shared" si="325"/>
        <v>1+5,54020617122366i</v>
      </c>
      <c r="AK393" s="32">
        <f t="shared" si="345"/>
        <v>5.629732180101</v>
      </c>
      <c r="AL393" s="32">
        <f t="shared" si="346"/>
        <v>1.39222038342679</v>
      </c>
      <c r="AM393" s="32" t="str">
        <f t="shared" si="326"/>
        <v>1-0,914326882274573i</v>
      </c>
      <c r="AN393" s="32">
        <f t="shared" si="347"/>
        <v>1.35498843081775</v>
      </c>
      <c r="AO393" s="32">
        <f t="shared" si="348"/>
        <v>-0.740674355132007</v>
      </c>
      <c r="AP393" s="30" t="str">
        <f t="shared" si="349"/>
        <v>5,10419772887899-6,64618169839867i</v>
      </c>
      <c r="AQ393" s="32">
        <f t="shared" si="350"/>
        <v>18.4648906153902</v>
      </c>
      <c r="AR393" s="31">
        <f t="shared" si="351"/>
        <v>-52.4761159635504</v>
      </c>
      <c r="AS393" t="str">
        <f t="shared" si="327"/>
        <v>-0,000100699300699301</v>
      </c>
      <c r="AT393" t="str">
        <f t="shared" si="328"/>
        <v>0,0793931330786962i</v>
      </c>
      <c r="AU393">
        <f t="shared" si="352"/>
        <v>0.0793931330786962</v>
      </c>
      <c r="AV393">
        <f t="shared" si="353"/>
        <v>1.5707963267949</v>
      </c>
      <c r="AW393" t="str">
        <f t="shared" si="329"/>
        <v>1+4,06478279219604i</v>
      </c>
      <c r="AX393">
        <f t="shared" si="354"/>
        <v>4.18598365354346</v>
      </c>
      <c r="AY393">
        <f t="shared" si="355"/>
        <v>1.32957118331642</v>
      </c>
      <c r="AZ393" t="str">
        <f t="shared" si="330"/>
        <v>1+194,331211363074i</v>
      </c>
      <c r="BA393">
        <f t="shared" si="356"/>
        <v>194.333784272935</v>
      </c>
      <c r="BB393">
        <f t="shared" si="357"/>
        <v>1.5656505184272</v>
      </c>
      <c r="BC393" s="30" t="str">
        <f t="shared" si="358"/>
        <v>-0,013772431594419+0,0572503058036712i</v>
      </c>
      <c r="BD393" s="32">
        <f t="shared" si="359"/>
        <v>-24.6001141283832</v>
      </c>
      <c r="BE393" s="31">
        <f t="shared" si="360"/>
        <v>103.526349532102</v>
      </c>
      <c r="BF393" s="30" t="str">
        <f t="shared" si="361"/>
        <v>0,0866846685166832-0,118979039245512i</v>
      </c>
      <c r="BG393" s="68">
        <f t="shared" si="362"/>
        <v>-16.6413620794244</v>
      </c>
      <c r="BH393" s="31">
        <f t="shared" si="363"/>
        <v>-53.9240073424058</v>
      </c>
      <c r="BI393" s="30" t="str">
        <f t="shared" si="369"/>
        <v>0,310198720594712+0,383750963666001i</v>
      </c>
      <c r="BJ393" s="68">
        <f t="shared" si="364"/>
        <v>-6.13522351299302</v>
      </c>
      <c r="BK393" s="31">
        <f t="shared" si="370"/>
        <v>51.050233568552</v>
      </c>
      <c r="BL393" s="32">
        <f t="shared" si="365"/>
        <v>-16.6413620794244</v>
      </c>
      <c r="BM393" s="31">
        <f t="shared" si="366"/>
        <v>-53.9240073424058</v>
      </c>
      <c r="BO393">
        <f t="shared" si="367"/>
        <v>0</v>
      </c>
      <c r="BP393">
        <f t="shared" si="368"/>
        <v>0</v>
      </c>
    </row>
    <row r="394" spans="14:68">
      <c r="N394" s="7">
        <v>76</v>
      </c>
      <c r="O394" s="18">
        <f t="shared" si="371"/>
        <v>57543.9937337157</v>
      </c>
      <c r="P394" s="86" t="str">
        <f t="shared" si="319"/>
        <v>60</v>
      </c>
      <c r="Q394" s="4" t="str">
        <f t="shared" si="320"/>
        <v>1+472,437845900313i</v>
      </c>
      <c r="R394" s="4">
        <f t="shared" si="331"/>
        <v>472.438904239403</v>
      </c>
      <c r="S394" s="4">
        <f t="shared" si="332"/>
        <v>1.56867964940498</v>
      </c>
      <c r="T394" s="4" t="str">
        <f t="shared" si="321"/>
        <v>1+5,66925415080376i</v>
      </c>
      <c r="U394" s="4">
        <f t="shared" si="333"/>
        <v>5.75677362994287</v>
      </c>
      <c r="V394" s="4">
        <f t="shared" si="334"/>
        <v>1.39620223869115</v>
      </c>
      <c r="W394" t="str">
        <f t="shared" si="322"/>
        <v>1-7,90911572377756i</v>
      </c>
      <c r="X394" s="4">
        <f t="shared" si="335"/>
        <v>7.9720832617394</v>
      </c>
      <c r="Y394" s="4">
        <f t="shared" si="336"/>
        <v>-1.44502729648532</v>
      </c>
      <c r="Z394" t="str">
        <f t="shared" si="323"/>
        <v>0,972968888042237+2,11032732081669i</v>
      </c>
      <c r="AA394" s="4">
        <f t="shared" si="337"/>
        <v>2.32382225182639</v>
      </c>
      <c r="AB394" s="4">
        <f t="shared" si="338"/>
        <v>1.13879034108098</v>
      </c>
      <c r="AC394" s="67" t="str">
        <f t="shared" si="339"/>
        <v>-2,32426992698444-0,942650759403345i</v>
      </c>
      <c r="AD394" s="68">
        <f t="shared" si="340"/>
        <v>7.98707338073839</v>
      </c>
      <c r="AE394" s="31">
        <f t="shared" si="341"/>
        <v>-157.924073359259</v>
      </c>
      <c r="AF394" s="32" t="str">
        <f t="shared" si="342"/>
        <v>326,048966736478</v>
      </c>
      <c r="AG394" s="32" t="str">
        <f t="shared" si="324"/>
        <v>1+303,710043793058i</v>
      </c>
      <c r="AH394" s="32">
        <f t="shared" si="343"/>
        <v>303.711690095691</v>
      </c>
      <c r="AI394" s="32">
        <f t="shared" si="344"/>
        <v>1.56750372450304</v>
      </c>
      <c r="AJ394" s="32" t="str">
        <f t="shared" si="325"/>
        <v>1+5,66925415080376i</v>
      </c>
      <c r="AK394" s="32">
        <f t="shared" si="345"/>
        <v>5.75677362994287</v>
      </c>
      <c r="AL394" s="32">
        <f t="shared" si="346"/>
        <v>1.39620223869115</v>
      </c>
      <c r="AM394" s="32" t="str">
        <f t="shared" si="326"/>
        <v>1-0,935624291285482i</v>
      </c>
      <c r="AN394" s="32">
        <f t="shared" si="347"/>
        <v>1.36944982180563</v>
      </c>
      <c r="AO394" s="32">
        <f t="shared" si="348"/>
        <v>-0.752152047914515</v>
      </c>
      <c r="AP394" s="30" t="str">
        <f t="shared" si="349"/>
        <v>5,10403374870435-6,75118873137548i</v>
      </c>
      <c r="AQ394" s="32">
        <f t="shared" si="350"/>
        <v>18.5509319163224</v>
      </c>
      <c r="AR394" s="31">
        <f t="shared" si="351"/>
        <v>-52.9099900589646</v>
      </c>
      <c r="AS394" t="str">
        <f t="shared" si="327"/>
        <v>-0,000100699300699301</v>
      </c>
      <c r="AT394" t="str">
        <f t="shared" si="328"/>
        <v>0,081242436714643i</v>
      </c>
      <c r="AU394">
        <f t="shared" si="352"/>
        <v>0.081242436714643</v>
      </c>
      <c r="AV394">
        <f t="shared" si="353"/>
        <v>1.5707963267949</v>
      </c>
      <c r="AW394" t="str">
        <f t="shared" si="329"/>
        <v>1+4,15946374639761i</v>
      </c>
      <c r="AX394">
        <f t="shared" si="354"/>
        <v>4.27798301277554</v>
      </c>
      <c r="AY394">
        <f t="shared" si="355"/>
        <v>1.33485841164492</v>
      </c>
      <c r="AZ394" t="str">
        <f t="shared" si="330"/>
        <v>1+198,857766769264i</v>
      </c>
      <c r="BA394">
        <f t="shared" si="356"/>
        <v>198.860281113296</v>
      </c>
      <c r="BB394">
        <f t="shared" si="357"/>
        <v>1.56576764932842</v>
      </c>
      <c r="BC394" s="30" t="str">
        <f t="shared" si="358"/>
        <v>-0,0131864401714694+0,0560880112259003i</v>
      </c>
      <c r="BD394" s="32">
        <f t="shared" si="359"/>
        <v>-24.7889498572151</v>
      </c>
      <c r="BE394" s="31">
        <f t="shared" si="360"/>
        <v>103.230124769848</v>
      </c>
      <c r="BF394" s="30" t="str">
        <f t="shared" si="361"/>
        <v>0,0835202527100441-0,117933469915263i</v>
      </c>
      <c r="BG394" s="68">
        <f t="shared" si="362"/>
        <v>-16.8018764764767</v>
      </c>
      <c r="BH394" s="31">
        <f t="shared" si="363"/>
        <v>-54.693948589411</v>
      </c>
      <c r="BI394" s="30" t="str">
        <f t="shared" si="369"/>
        <v>0,311356713693109+0,375299248487285i</v>
      </c>
      <c r="BJ394" s="68">
        <f t="shared" si="364"/>
        <v>-6.23801794089271</v>
      </c>
      <c r="BK394" s="31">
        <f t="shared" si="370"/>
        <v>50.3201347108832</v>
      </c>
      <c r="BL394" s="32">
        <f t="shared" si="365"/>
        <v>-16.8018764764767</v>
      </c>
      <c r="BM394" s="31">
        <f t="shared" si="366"/>
        <v>-54.693948589411</v>
      </c>
      <c r="BO394">
        <f t="shared" si="367"/>
        <v>0</v>
      </c>
      <c r="BP394">
        <f t="shared" si="368"/>
        <v>0</v>
      </c>
    </row>
    <row r="395" spans="14:68">
      <c r="N395" s="7">
        <v>77</v>
      </c>
      <c r="O395" s="18">
        <f t="shared" si="371"/>
        <v>58884.3655355589</v>
      </c>
      <c r="P395" s="86" t="str">
        <f t="shared" si="319"/>
        <v>60</v>
      </c>
      <c r="Q395" s="4" t="str">
        <f t="shared" si="320"/>
        <v>1+483,442336998005i</v>
      </c>
      <c r="R395" s="4">
        <f t="shared" si="331"/>
        <v>483.443371246408</v>
      </c>
      <c r="S395" s="4">
        <f t="shared" si="332"/>
        <v>1.56872783072568</v>
      </c>
      <c r="T395" s="4" t="str">
        <f t="shared" si="321"/>
        <v>1+5,80130804397606i</v>
      </c>
      <c r="U395" s="4">
        <f t="shared" si="333"/>
        <v>5.88686461718811</v>
      </c>
      <c r="V395" s="4">
        <f t="shared" si="334"/>
        <v>1.40009886813595</v>
      </c>
      <c r="W395" t="str">
        <f t="shared" si="322"/>
        <v>1-8,0933426952791i</v>
      </c>
      <c r="X395" s="4">
        <f t="shared" si="335"/>
        <v>8.15488785840906</v>
      </c>
      <c r="Y395" s="4">
        <f t="shared" si="336"/>
        <v>-1.44786106241797</v>
      </c>
      <c r="Z395" t="str">
        <f t="shared" si="323"/>
        <v>0,971694950983467+2,15948315881033i</v>
      </c>
      <c r="AA395" s="4">
        <f t="shared" si="337"/>
        <v>2.36802841852715</v>
      </c>
      <c r="AB395" s="4">
        <f t="shared" si="338"/>
        <v>1.14797030885333</v>
      </c>
      <c r="AC395" s="67" t="str">
        <f t="shared" si="339"/>
        <v>-2,3392414256687-0,926553303161162i</v>
      </c>
      <c r="AD395" s="68">
        <f t="shared" si="340"/>
        <v>8.01441544211843</v>
      </c>
      <c r="AE395" s="31">
        <f t="shared" si="341"/>
        <v>-158.391909761564</v>
      </c>
      <c r="AF395" s="32" t="str">
        <f t="shared" si="342"/>
        <v>326,048966736478</v>
      </c>
      <c r="AG395" s="32" t="str">
        <f t="shared" si="324"/>
        <v>1+310,784359498718i</v>
      </c>
      <c r="AH395" s="32">
        <f t="shared" si="343"/>
        <v>310.785968327124</v>
      </c>
      <c r="AI395" s="32">
        <f t="shared" si="344"/>
        <v>1.56757867275815</v>
      </c>
      <c r="AJ395" s="32" t="str">
        <f t="shared" si="325"/>
        <v>1+5,80130804397606i</v>
      </c>
      <c r="AK395" s="32">
        <f t="shared" si="345"/>
        <v>5.88686461718811</v>
      </c>
      <c r="AL395" s="32">
        <f t="shared" si="346"/>
        <v>1.40009886813595</v>
      </c>
      <c r="AM395" s="32" t="str">
        <f t="shared" si="326"/>
        <v>1-0,95741778068008i</v>
      </c>
      <c r="AN395" s="32">
        <f t="shared" si="347"/>
        <v>1.38443086023188</v>
      </c>
      <c r="AO395" s="32">
        <f t="shared" si="348"/>
        <v>-0.763647311679061</v>
      </c>
      <c r="AP395" s="30" t="str">
        <f t="shared" si="349"/>
        <v>5,10387714869689-6,85977528536666i</v>
      </c>
      <c r="AQ395" s="32">
        <f t="shared" si="350"/>
        <v>18.6395349090249</v>
      </c>
      <c r="AR395" s="31">
        <f t="shared" si="351"/>
        <v>-53.3496539542493</v>
      </c>
      <c r="AS395" t="str">
        <f t="shared" si="327"/>
        <v>-0,000100699300699301</v>
      </c>
      <c r="AT395" t="str">
        <f t="shared" si="328"/>
        <v>0,0831348161659069i</v>
      </c>
      <c r="AU395">
        <f t="shared" si="352"/>
        <v>0.0831348161659069</v>
      </c>
      <c r="AV395">
        <f t="shared" si="353"/>
        <v>1.5707963267949</v>
      </c>
      <c r="AW395" t="str">
        <f t="shared" si="329"/>
        <v>1+4,25635010333452i</v>
      </c>
      <c r="AX395">
        <f t="shared" si="354"/>
        <v>4.37224384065617</v>
      </c>
      <c r="AY395">
        <f t="shared" si="355"/>
        <v>1.34003830880994</v>
      </c>
      <c r="AZ395" t="str">
        <f t="shared" si="330"/>
        <v>1+203,489759195589i</v>
      </c>
      <c r="BA395">
        <f t="shared" si="356"/>
        <v>203.492216306862</v>
      </c>
      <c r="BB395">
        <f t="shared" si="357"/>
        <v>1.56588211413814</v>
      </c>
      <c r="BC395" s="30" t="str">
        <f t="shared" si="358"/>
        <v>-0,0126239984014945+0,0549434340207213i</v>
      </c>
      <c r="BD395" s="32">
        <f t="shared" si="359"/>
        <v>-24.9782611779394</v>
      </c>
      <c r="BE395" s="31">
        <f t="shared" si="360"/>
        <v>102.93989687448</v>
      </c>
      <c r="BF395" s="30" t="str">
        <f t="shared" si="361"/>
        <v>0,0804386002972681-0,11682914951176i</v>
      </c>
      <c r="BG395" s="68">
        <f t="shared" si="362"/>
        <v>-16.963845735821</v>
      </c>
      <c r="BH395" s="31">
        <f t="shared" si="363"/>
        <v>-55.4520128870833</v>
      </c>
      <c r="BI395" s="30" t="str">
        <f t="shared" si="369"/>
        <v>0,312468273821944+0,367022329606375i</v>
      </c>
      <c r="BJ395" s="68">
        <f t="shared" si="364"/>
        <v>-6.33872626891448</v>
      </c>
      <c r="BK395" s="31">
        <f t="shared" si="370"/>
        <v>49.5902429202308</v>
      </c>
      <c r="BL395" s="32">
        <f t="shared" si="365"/>
        <v>-16.963845735821</v>
      </c>
      <c r="BM395" s="31">
        <f t="shared" si="366"/>
        <v>-55.4520128870833</v>
      </c>
      <c r="BO395">
        <f t="shared" si="367"/>
        <v>0</v>
      </c>
      <c r="BP395">
        <f t="shared" si="368"/>
        <v>0</v>
      </c>
    </row>
    <row r="396" spans="14:68">
      <c r="N396" s="7">
        <v>78</v>
      </c>
      <c r="O396" s="18">
        <f t="shared" si="371"/>
        <v>60255.9586074359</v>
      </c>
      <c r="P396" s="86" t="str">
        <f t="shared" si="319"/>
        <v>60</v>
      </c>
      <c r="Q396" s="4" t="str">
        <f t="shared" si="320"/>
        <v>1+494,70315562189i</v>
      </c>
      <c r="R396" s="4">
        <f t="shared" si="331"/>
        <v>494.704166327974</v>
      </c>
      <c r="S396" s="4">
        <f t="shared" si="332"/>
        <v>1.5687749153149</v>
      </c>
      <c r="T396" s="4" t="str">
        <f t="shared" si="321"/>
        <v>1+5,93643786746269i</v>
      </c>
      <c r="U396" s="4">
        <f t="shared" si="333"/>
        <v>6.02007429806684</v>
      </c>
      <c r="V396" s="4">
        <f t="shared" si="334"/>
        <v>1.40391186424705</v>
      </c>
      <c r="W396" t="str">
        <f t="shared" si="322"/>
        <v>1-8,28186086420576i</v>
      </c>
      <c r="X396" s="4">
        <f t="shared" si="335"/>
        <v>8.34201530651095</v>
      </c>
      <c r="Y396" s="4">
        <f t="shared" si="336"/>
        <v>-1.45063224278211</v>
      </c>
      <c r="Z396" t="str">
        <f t="shared" si="323"/>
        <v>0,970360975120808+2,20978398335893i</v>
      </c>
      <c r="AA396" s="4">
        <f t="shared" si="337"/>
        <v>2.41345098876009</v>
      </c>
      <c r="AB396" s="4">
        <f t="shared" si="338"/>
        <v>1.15702671683666</v>
      </c>
      <c r="AC396" s="67" t="str">
        <f t="shared" si="339"/>
        <v>-2,35377413544942-0,910426605124778i</v>
      </c>
      <c r="AD396" s="68">
        <f t="shared" si="340"/>
        <v>8.0408006451933</v>
      </c>
      <c r="AE396" s="31">
        <f t="shared" si="341"/>
        <v>-158.853809819468</v>
      </c>
      <c r="AF396" s="32" t="str">
        <f t="shared" si="342"/>
        <v>326,048966736478</v>
      </c>
      <c r="AG396" s="32" t="str">
        <f t="shared" si="324"/>
        <v>1+318,023457185501i</v>
      </c>
      <c r="AH396" s="32">
        <f t="shared" si="343"/>
        <v>318.025029392685</v>
      </c>
      <c r="AI396" s="32">
        <f t="shared" si="344"/>
        <v>1.56765191501763</v>
      </c>
      <c r="AJ396" s="32" t="str">
        <f t="shared" si="325"/>
        <v>1+5,93643786746269i</v>
      </c>
      <c r="AK396" s="32">
        <f t="shared" si="345"/>
        <v>6.02007429806684</v>
      </c>
      <c r="AL396" s="32">
        <f t="shared" si="346"/>
        <v>1.40391186424705</v>
      </c>
      <c r="AM396" s="32" t="str">
        <f t="shared" si="326"/>
        <v>1-0,97971890565492i</v>
      </c>
      <c r="AN396" s="32">
        <f t="shared" si="347"/>
        <v>1.39994611828373</v>
      </c>
      <c r="AO396" s="32">
        <f t="shared" si="348"/>
        <v>-0.775154090442172</v>
      </c>
      <c r="AP396" s="30" t="str">
        <f t="shared" si="349"/>
        <v>5,10372759670815-6,97199893764525i</v>
      </c>
      <c r="AQ396" s="32">
        <f t="shared" si="350"/>
        <v>18.7306939748132</v>
      </c>
      <c r="AR396" s="31">
        <f t="shared" si="351"/>
        <v>-53.7946717010501</v>
      </c>
      <c r="AS396" t="str">
        <f t="shared" si="327"/>
        <v>-0,000100699300699301</v>
      </c>
      <c r="AT396" t="str">
        <f t="shared" si="328"/>
        <v>0,0850712747971214i</v>
      </c>
      <c r="AU396">
        <f t="shared" si="352"/>
        <v>0.0850712747971214</v>
      </c>
      <c r="AV396">
        <f t="shared" si="353"/>
        <v>1.5707963267949</v>
      </c>
      <c r="AW396" t="str">
        <f t="shared" si="329"/>
        <v>1+4,35549323343569i</v>
      </c>
      <c r="AX396">
        <f t="shared" si="354"/>
        <v>4.46881654428822</v>
      </c>
      <c r="AY396">
        <f t="shared" si="355"/>
        <v>1.34511250890362</v>
      </c>
      <c r="AZ396" t="str">
        <f t="shared" si="330"/>
        <v>1+208,229644585744i</v>
      </c>
      <c r="BA396">
        <f t="shared" si="356"/>
        <v>208.232045766989</v>
      </c>
      <c r="BB396">
        <f t="shared" si="357"/>
        <v>1.56599397353513</v>
      </c>
      <c r="BC396" s="30" t="str">
        <f t="shared" si="358"/>
        <v>-0,0120842757747497+0,0538166864544746i</v>
      </c>
      <c r="BD396" s="32">
        <f t="shared" si="359"/>
        <v>-25.1680289297027</v>
      </c>
      <c r="BE396" s="31">
        <f t="shared" si="360"/>
        <v>102.655575696054</v>
      </c>
      <c r="BF396" s="30" t="str">
        <f t="shared" si="361"/>
        <v>0,0774397989120558-0,115670478463136i</v>
      </c>
      <c r="BG396" s="68">
        <f t="shared" si="362"/>
        <v>-17.1272282845095</v>
      </c>
      <c r="BH396" s="31">
        <f t="shared" si="363"/>
        <v>-56.1982341234139</v>
      </c>
      <c r="BI396" s="30" t="str">
        <f t="shared" si="369"/>
        <v>0,313535029030363+0,358917265684859i</v>
      </c>
      <c r="BJ396" s="68">
        <f t="shared" si="364"/>
        <v>-6.43733495488953</v>
      </c>
      <c r="BK396" s="31">
        <f t="shared" si="370"/>
        <v>48.8609039950038</v>
      </c>
      <c r="BL396" s="32">
        <f t="shared" si="365"/>
        <v>-17.1272282845095</v>
      </c>
      <c r="BM396" s="31">
        <f t="shared" si="366"/>
        <v>-56.1982341234139</v>
      </c>
      <c r="BO396">
        <f t="shared" si="367"/>
        <v>0</v>
      </c>
      <c r="BP396">
        <f t="shared" si="368"/>
        <v>0</v>
      </c>
    </row>
    <row r="397" spans="14:68">
      <c r="N397" s="7">
        <v>79</v>
      </c>
      <c r="O397" s="18">
        <f t="shared" si="371"/>
        <v>61659.5001861482</v>
      </c>
      <c r="P397" s="86" t="str">
        <f t="shared" si="319"/>
        <v>60</v>
      </c>
      <c r="Q397" s="4" t="str">
        <f t="shared" si="320"/>
        <v>1+506,226272407053i</v>
      </c>
      <c r="R397" s="4">
        <f t="shared" si="331"/>
        <v>506.227260106703</v>
      </c>
      <c r="S397" s="4">
        <f t="shared" si="332"/>
        <v>1.56882092813668</v>
      </c>
      <c r="T397" s="4" t="str">
        <f t="shared" si="321"/>
        <v>1+6,07471526888465i</v>
      </c>
      <c r="U397" s="4">
        <f t="shared" si="333"/>
        <v>6.15647347091014</v>
      </c>
      <c r="V397" s="4">
        <f t="shared" si="334"/>
        <v>1.4076428050076</v>
      </c>
      <c r="W397" t="str">
        <f t="shared" si="322"/>
        <v>1-8,47477018538594i</v>
      </c>
      <c r="X397" s="4">
        <f t="shared" si="335"/>
        <v>8.53356488784766</v>
      </c>
      <c r="Y397" s="4">
        <f t="shared" si="336"/>
        <v>-1.45334213655406</v>
      </c>
      <c r="Z397" t="str">
        <f t="shared" si="323"/>
        <v>0,968964130912607+2,26125646462543i</v>
      </c>
      <c r="AA397" s="4">
        <f t="shared" si="337"/>
        <v>2.4601163155033</v>
      </c>
      <c r="AB397" s="4">
        <f t="shared" si="338"/>
        <v>1.16595900755188</v>
      </c>
      <c r="AC397" s="67" t="str">
        <f t="shared" si="339"/>
        <v>-2,36787215061202-0,894284966153035i</v>
      </c>
      <c r="AD397" s="68">
        <f t="shared" si="340"/>
        <v>8.06625177292042</v>
      </c>
      <c r="AE397" s="31">
        <f t="shared" si="341"/>
        <v>-159.309727036194</v>
      </c>
      <c r="AF397" s="32" t="str">
        <f t="shared" si="342"/>
        <v>326,048966736478</v>
      </c>
      <c r="AG397" s="32" t="str">
        <f t="shared" si="324"/>
        <v>1+325,43117511882i</v>
      </c>
      <c r="AH397" s="32">
        <f t="shared" si="343"/>
        <v>325.43271153837</v>
      </c>
      <c r="AI397" s="32">
        <f t="shared" si="344"/>
        <v>1.56772349011233</v>
      </c>
      <c r="AJ397" s="32" t="str">
        <f t="shared" si="325"/>
        <v>1+6,07471526888465i</v>
      </c>
      <c r="AK397" s="32">
        <f t="shared" si="345"/>
        <v>6.15647347091014</v>
      </c>
      <c r="AL397" s="32">
        <f t="shared" si="346"/>
        <v>1.4076428050076</v>
      </c>
      <c r="AM397" s="32" t="str">
        <f t="shared" si="326"/>
        <v>1-1,00253949056164i</v>
      </c>
      <c r="AN397" s="32">
        <f t="shared" si="347"/>
        <v>1.4160103919589</v>
      </c>
      <c r="AO397" s="32">
        <f t="shared" si="348"/>
        <v>-0.786666297789955</v>
      </c>
      <c r="AP397" s="30" t="str">
        <f t="shared" si="349"/>
        <v>5,10358477553758-7,08791919370514i</v>
      </c>
      <c r="AQ397" s="32">
        <f t="shared" si="350"/>
        <v>18.8244015287143</v>
      </c>
      <c r="AR397" s="31">
        <f t="shared" si="351"/>
        <v>-54.2446063866096</v>
      </c>
      <c r="AS397" t="str">
        <f t="shared" si="327"/>
        <v>-0,000100699300699301</v>
      </c>
      <c r="AT397" t="str">
        <f t="shared" si="328"/>
        <v>0,0870528393442845i</v>
      </c>
      <c r="AU397">
        <f t="shared" si="352"/>
        <v>0.0870528393442845</v>
      </c>
      <c r="AV397">
        <f t="shared" si="353"/>
        <v>1.5707963267949</v>
      </c>
      <c r="AW397" t="str">
        <f t="shared" si="329"/>
        <v>1+4,45694570370097i</v>
      </c>
      <c r="AX397">
        <f t="shared" si="354"/>
        <v>4.56775273036299</v>
      </c>
      <c r="AY397">
        <f t="shared" si="355"/>
        <v>1.35008265668419</v>
      </c>
      <c r="AZ397" t="str">
        <f t="shared" si="330"/>
        <v>1+213,079936089703i</v>
      </c>
      <c r="BA397">
        <f t="shared" si="356"/>
        <v>213.082282613998</v>
      </c>
      <c r="BB397">
        <f t="shared" si="357"/>
        <v>1.56610328681751</v>
      </c>
      <c r="BC397" s="30" t="str">
        <f t="shared" si="358"/>
        <v>-0,0115664612803591+0,0527078505797622i</v>
      </c>
      <c r="BD397" s="32">
        <f t="shared" si="359"/>
        <v>-25.3582346314191</v>
      </c>
      <c r="BE397" s="31">
        <f t="shared" si="360"/>
        <v>102.377070394396</v>
      </c>
      <c r="BF397" s="30" t="str">
        <f t="shared" si="361"/>
        <v>0,0745237399186164-0,114461739071822i</v>
      </c>
      <c r="BG397" s="68">
        <f t="shared" si="362"/>
        <v>-17.2919828584987</v>
      </c>
      <c r="BH397" s="31">
        <f t="shared" si="363"/>
        <v>-56.9326566417984</v>
      </c>
      <c r="BI397" s="30" t="str">
        <f t="shared" si="369"/>
        <v>0,314558570085953+0,350981126682489i</v>
      </c>
      <c r="BJ397" s="68">
        <f t="shared" si="364"/>
        <v>-6.53383310270483</v>
      </c>
      <c r="BK397" s="31">
        <f t="shared" si="370"/>
        <v>48.1324640077863</v>
      </c>
      <c r="BL397" s="32">
        <f t="shared" si="365"/>
        <v>-17.2919828584987</v>
      </c>
      <c r="BM397" s="31">
        <f t="shared" si="366"/>
        <v>-56.9326566417984</v>
      </c>
      <c r="BO397">
        <f t="shared" si="367"/>
        <v>0</v>
      </c>
      <c r="BP397">
        <f t="shared" si="368"/>
        <v>0</v>
      </c>
    </row>
    <row r="398" spans="14:68">
      <c r="N398" s="7">
        <v>80</v>
      </c>
      <c r="O398" s="18">
        <f t="shared" si="371"/>
        <v>63095.7344480193</v>
      </c>
      <c r="P398" s="86" t="str">
        <f t="shared" si="319"/>
        <v>60</v>
      </c>
      <c r="Q398" s="4" t="str">
        <f t="shared" si="320"/>
        <v>1+518,017797062546i</v>
      </c>
      <c r="R398" s="4">
        <f t="shared" si="331"/>
        <v>518.01876227945</v>
      </c>
      <c r="S398" s="4">
        <f t="shared" si="332"/>
        <v>1.56886589358685</v>
      </c>
      <c r="T398" s="4" t="str">
        <f t="shared" si="321"/>
        <v>1+6,21621356475056i</v>
      </c>
      <c r="U398" s="4">
        <f t="shared" si="333"/>
        <v>6.29613461439548</v>
      </c>
      <c r="V398" s="4">
        <f t="shared" si="334"/>
        <v>1.41129325292687</v>
      </c>
      <c r="W398" t="str">
        <f t="shared" si="322"/>
        <v>1-8,67217294189532i</v>
      </c>
      <c r="X398" s="4">
        <f t="shared" si="335"/>
        <v>8.72963822469988</v>
      </c>
      <c r="Y398" s="4">
        <f t="shared" si="336"/>
        <v>-1.45599202126841</v>
      </c>
      <c r="Z398" t="str">
        <f t="shared" si="323"/>
        <v>0,967501455465021+2,31392789400076i</v>
      </c>
      <c r="AA398" s="4">
        <f t="shared" si="337"/>
        <v>2.50805130827934</v>
      </c>
      <c r="AB398" s="4">
        <f t="shared" si="338"/>
        <v>1.1747667952479</v>
      </c>
      <c r="AC398" s="67" t="str">
        <f t="shared" si="339"/>
        <v>-2,38154021141551-0,878142106760077i</v>
      </c>
      <c r="AD398" s="68">
        <f t="shared" si="340"/>
        <v>8.09079189105562</v>
      </c>
      <c r="AE398" s="31">
        <f t="shared" si="341"/>
        <v>-159.759624379764</v>
      </c>
      <c r="AF398" s="32" t="str">
        <f t="shared" si="342"/>
        <v>326,048966736478</v>
      </c>
      <c r="AG398" s="32" t="str">
        <f t="shared" si="324"/>
        <v>1+333,01144096878i</v>
      </c>
      <c r="AH398" s="32">
        <f t="shared" si="343"/>
        <v>333.012942415311</v>
      </c>
      <c r="AI398" s="32">
        <f t="shared" si="344"/>
        <v>1.56779343598939</v>
      </c>
      <c r="AJ398" s="32" t="str">
        <f t="shared" si="325"/>
        <v>1+6,21621356475056i</v>
      </c>
      <c r="AK398" s="32">
        <f t="shared" si="345"/>
        <v>6.29613461439548</v>
      </c>
      <c r="AL398" s="32">
        <f t="shared" si="346"/>
        <v>1.41129325292687</v>
      </c>
      <c r="AM398" s="32" t="str">
        <f t="shared" si="326"/>
        <v>1-1,02589163517645i</v>
      </c>
      <c r="AN398" s="32">
        <f t="shared" si="347"/>
        <v>1.43263870083319</v>
      </c>
      <c r="AO398" s="32">
        <f t="shared" si="348"/>
        <v>-0.798177832937191</v>
      </c>
      <c r="AP398" s="30" t="str">
        <f t="shared" si="349"/>
        <v>5,10344838225986-7,20759751882657i</v>
      </c>
      <c r="AQ398" s="32">
        <f t="shared" si="350"/>
        <v>18.9206479895394</v>
      </c>
      <c r="AR398" s="31">
        <f t="shared" si="351"/>
        <v>-54.6990211107061</v>
      </c>
      <c r="AS398" t="str">
        <f t="shared" si="327"/>
        <v>-0,000100699300699301</v>
      </c>
      <c r="AT398" t="str">
        <f t="shared" si="328"/>
        <v>0,0890805604591486i</v>
      </c>
      <c r="AU398">
        <f t="shared" si="352"/>
        <v>0.0890805604591486</v>
      </c>
      <c r="AV398">
        <f t="shared" si="353"/>
        <v>1.5707963267949</v>
      </c>
      <c r="AW398" t="str">
        <f t="shared" si="329"/>
        <v>1+4,56076130557302i</v>
      </c>
      <c r="AX398">
        <f t="shared" si="354"/>
        <v>4.66910523402634</v>
      </c>
      <c r="AY398">
        <f t="shared" si="355"/>
        <v>1.35495040475154</v>
      </c>
      <c r="AZ398" t="str">
        <f t="shared" si="330"/>
        <v>1+218,043205396225i</v>
      </c>
      <c r="BA398">
        <f t="shared" si="356"/>
        <v>218.045498507675</v>
      </c>
      <c r="BB398">
        <f t="shared" si="357"/>
        <v>1.56621011193417</v>
      </c>
      <c r="BC398" s="30" t="str">
        <f t="shared" si="358"/>
        <v>-0,0110697638301825+0,0516169801202487i</v>
      </c>
      <c r="BD398" s="32">
        <f t="shared" si="359"/>
        <v>-25.5488604654486</v>
      </c>
      <c r="BE398" s="31">
        <f t="shared" si="360"/>
        <v>102.104289602734</v>
      </c>
      <c r="BF398" s="30" t="str">
        <f t="shared" si="361"/>
        <v>0,0716901313598408-0,113207088017034i</v>
      </c>
      <c r="BG398" s="68">
        <f t="shared" si="362"/>
        <v>-17.458068574393</v>
      </c>
      <c r="BH398" s="31">
        <f t="shared" si="363"/>
        <v>-57.6553347770292</v>
      </c>
      <c r="BI398" s="30" t="str">
        <f t="shared" si="369"/>
        <v>0,315540449532881+0,343210996008242i</v>
      </c>
      <c r="BJ398" s="68">
        <f t="shared" si="364"/>
        <v>-6.62821247590921</v>
      </c>
      <c r="BK398" s="31">
        <f t="shared" si="370"/>
        <v>47.4052684920283</v>
      </c>
      <c r="BL398" s="32">
        <f t="shared" si="365"/>
        <v>-17.458068574393</v>
      </c>
      <c r="BM398" s="31">
        <f t="shared" si="366"/>
        <v>-57.6553347770292</v>
      </c>
      <c r="BO398">
        <f t="shared" si="367"/>
        <v>0</v>
      </c>
      <c r="BP398">
        <f t="shared" si="368"/>
        <v>0</v>
      </c>
    </row>
    <row r="399" spans="14:68">
      <c r="N399" s="7">
        <v>81</v>
      </c>
      <c r="O399" s="18">
        <f t="shared" si="371"/>
        <v>64565.4229034657</v>
      </c>
      <c r="P399" s="86" t="str">
        <f t="shared" si="319"/>
        <v>60</v>
      </c>
      <c r="Q399" s="4" t="str">
        <f t="shared" si="320"/>
        <v>1+530,083981610819i</v>
      </c>
      <c r="R399" s="4">
        <f t="shared" si="331"/>
        <v>530.084924856743</v>
      </c>
      <c r="S399" s="4">
        <f t="shared" si="332"/>
        <v>1.56890983550595</v>
      </c>
      <c r="T399" s="4" t="str">
        <f t="shared" si="321"/>
        <v>1+6,36100777932983i</v>
      </c>
      <c r="U399" s="4">
        <f t="shared" si="333"/>
        <v>6.43913192664156</v>
      </c>
      <c r="V399" s="4">
        <f t="shared" si="334"/>
        <v>1.41486475416282</v>
      </c>
      <c r="W399" t="str">
        <f t="shared" si="322"/>
        <v>1-8,87417379928826i</v>
      </c>
      <c r="X399" s="4">
        <f t="shared" si="335"/>
        <v>8.93033933397686</v>
      </c>
      <c r="Y399" s="4">
        <f t="shared" si="336"/>
        <v>-1.45858315299123</v>
      </c>
      <c r="Z399" t="str">
        <f t="shared" si="323"/>
        <v>0,965969846247319+2,36782619857395i</v>
      </c>
      <c r="AA399" s="4">
        <f t="shared" si="337"/>
        <v>2.5572834513429</v>
      </c>
      <c r="AB399" s="4">
        <f t="shared" si="338"/>
        <v>1.18344985952694</v>
      </c>
      <c r="AC399" s="67" t="str">
        <f t="shared" si="339"/>
        <v>-2,39478365031001-0,86201114828713i</v>
      </c>
      <c r="AD399" s="68">
        <f t="shared" si="340"/>
        <v>8.11444426568084</v>
      </c>
      <c r="AE399" s="31">
        <f t="shared" si="341"/>
        <v>-160.203473967237</v>
      </c>
      <c r="AF399" s="32" t="str">
        <f t="shared" si="342"/>
        <v>326,048966736478</v>
      </c>
      <c r="AG399" s="32" t="str">
        <f t="shared" si="324"/>
        <v>1+340,768273892669i</v>
      </c>
      <c r="AH399" s="32">
        <f t="shared" si="343"/>
        <v>340.769741162253</v>
      </c>
      <c r="AI399" s="32">
        <f t="shared" si="344"/>
        <v>1.5678617897323</v>
      </c>
      <c r="AJ399" s="32" t="str">
        <f t="shared" si="325"/>
        <v>1+6,36100777932983i</v>
      </c>
      <c r="AK399" s="32">
        <f t="shared" si="345"/>
        <v>6.43913192664156</v>
      </c>
      <c r="AL399" s="32">
        <f t="shared" si="346"/>
        <v>1.41486475416282</v>
      </c>
      <c r="AM399" s="32" t="str">
        <f t="shared" si="326"/>
        <v>1-1,04978772111551i</v>
      </c>
      <c r="AN399" s="32">
        <f t="shared" si="347"/>
        <v>1.44984628819916</v>
      </c>
      <c r="AO399" s="32">
        <f t="shared" si="348"/>
        <v>-0.809682596879073</v>
      </c>
      <c r="AP399" s="30" t="str">
        <f t="shared" si="349"/>
        <v>5,10331812758268-7,331097370679i</v>
      </c>
      <c r="AQ399" s="32">
        <f t="shared" si="350"/>
        <v>19.019421760564</v>
      </c>
      <c r="AR399" s="31">
        <f t="shared" si="351"/>
        <v>-55.1574799625071</v>
      </c>
      <c r="AS399" t="str">
        <f t="shared" si="327"/>
        <v>-0,000100699300699301</v>
      </c>
      <c r="AT399" t="str">
        <f t="shared" si="328"/>
        <v>0,091155513266289i</v>
      </c>
      <c r="AU399">
        <f t="shared" si="352"/>
        <v>0.091155513266289</v>
      </c>
      <c r="AV399">
        <f t="shared" si="353"/>
        <v>1.5707963267949</v>
      </c>
      <c r="AW399" t="str">
        <f t="shared" si="329"/>
        <v>1+4,6669950834581i</v>
      </c>
      <c r="AX399">
        <f t="shared" si="354"/>
        <v>4.77292814831965</v>
      </c>
      <c r="AY399">
        <f t="shared" si="355"/>
        <v>1.35971741090023</v>
      </c>
      <c r="AZ399" t="str">
        <f t="shared" si="330"/>
        <v>1+223,12208409639i</v>
      </c>
      <c r="BA399">
        <f t="shared" si="356"/>
        <v>223.124325010781</v>
      </c>
      <c r="BB399">
        <f t="shared" si="357"/>
        <v>1.56631450551545</v>
      </c>
      <c r="BC399" s="30" t="str">
        <f t="shared" si="358"/>
        <v>-0,0105934125801771+0,0505441022916571i</v>
      </c>
      <c r="BD399" s="32">
        <f t="shared" si="359"/>
        <v>-25.7398892609668</v>
      </c>
      <c r="BE399" s="31">
        <f t="shared" si="360"/>
        <v>101.837141581117</v>
      </c>
      <c r="BF399" s="30" t="str">
        <f t="shared" si="361"/>
        <v>0,06893851090357-0,111910550045139i</v>
      </c>
      <c r="BG399" s="68">
        <f t="shared" si="362"/>
        <v>-17.625444995286</v>
      </c>
      <c r="BH399" s="31">
        <f t="shared" si="363"/>
        <v>-58.3663323861195</v>
      </c>
      <c r="BI399" s="30" t="str">
        <f t="shared" si="369"/>
        <v>0,316482180960318+0,335603972580461i</v>
      </c>
      <c r="BJ399" s="68">
        <f t="shared" si="364"/>
        <v>-6.72046750040275</v>
      </c>
      <c r="BK399" s="31">
        <f t="shared" si="370"/>
        <v>46.6796616186098</v>
      </c>
      <c r="BL399" s="32">
        <f t="shared" si="365"/>
        <v>-17.625444995286</v>
      </c>
      <c r="BM399" s="31">
        <f t="shared" si="366"/>
        <v>-58.3663323861195</v>
      </c>
      <c r="BO399">
        <f t="shared" si="367"/>
        <v>0</v>
      </c>
      <c r="BP399">
        <f t="shared" si="368"/>
        <v>0</v>
      </c>
    </row>
    <row r="400" spans="14:68">
      <c r="N400" s="7">
        <v>82</v>
      </c>
      <c r="O400" s="18">
        <f t="shared" si="371"/>
        <v>66069.3448007597</v>
      </c>
      <c r="P400" s="86" t="str">
        <f t="shared" si="319"/>
        <v>60</v>
      </c>
      <c r="Q400" s="4" t="str">
        <f t="shared" si="320"/>
        <v>1+542,43122370263i</v>
      </c>
      <c r="R400" s="4">
        <f t="shared" si="331"/>
        <v>542.432145477693</v>
      </c>
      <c r="S400" s="4">
        <f t="shared" si="332"/>
        <v>1.5689527771919</v>
      </c>
      <c r="T400" s="4" t="str">
        <f t="shared" si="321"/>
        <v>1+6,50917468443157i</v>
      </c>
      <c r="U400" s="4">
        <f t="shared" si="333"/>
        <v>6.58554136517605</v>
      </c>
      <c r="V400" s="4">
        <f t="shared" si="334"/>
        <v>1.41835883773282</v>
      </c>
      <c r="W400" t="str">
        <f t="shared" si="322"/>
        <v>1-9,08087986109314i</v>
      </c>
      <c r="X400" s="4">
        <f t="shared" si="335"/>
        <v>9.13577468262035</v>
      </c>
      <c r="Y400" s="4">
        <f t="shared" si="336"/>
        <v>-1.46111676632547</v>
      </c>
      <c r="Z400" t="str">
        <f t="shared" si="323"/>
        <v>0,964366054511007+2,42297995593949i</v>
      </c>
      <c r="AA400" s="4">
        <f t="shared" si="337"/>
        <v>2.60784082220861</v>
      </c>
      <c r="AB400" s="4">
        <f t="shared" si="338"/>
        <v>1.19200813880698</v>
      </c>
      <c r="AC400" s="67" t="str">
        <f t="shared" si="339"/>
        <v>-2,40760833895884-0,845904598365066i</v>
      </c>
      <c r="AD400" s="68">
        <f t="shared" si="340"/>
        <v>8.13723228627511</v>
      </c>
      <c r="AE400" s="31">
        <f t="shared" si="341"/>
        <v>-160.64125673639</v>
      </c>
      <c r="AF400" s="32" t="str">
        <f t="shared" si="342"/>
        <v>326,048966736478</v>
      </c>
      <c r="AG400" s="32" t="str">
        <f t="shared" si="324"/>
        <v>1+348,705786665977i</v>
      </c>
      <c r="AH400" s="32">
        <f t="shared" si="343"/>
        <v>348.707220536567</v>
      </c>
      <c r="AI400" s="32">
        <f t="shared" si="344"/>
        <v>1.56792858758056</v>
      </c>
      <c r="AJ400" s="32" t="str">
        <f t="shared" si="325"/>
        <v>1+6,50917468443157i</v>
      </c>
      <c r="AK400" s="32">
        <f t="shared" si="345"/>
        <v>6.58554136517605</v>
      </c>
      <c r="AL400" s="32">
        <f t="shared" si="346"/>
        <v>1.41835883773282</v>
      </c>
      <c r="AM400" s="32" t="str">
        <f t="shared" si="326"/>
        <v>1-1,07424041839988i</v>
      </c>
      <c r="AN400" s="32">
        <f t="shared" si="347"/>
        <v>1.46764862161348</v>
      </c>
      <c r="AO400" s="32">
        <f t="shared" si="348"/>
        <v>-0.821174508531504</v>
      </c>
      <c r="AP400" s="30" t="str">
        <f t="shared" si="349"/>
        <v>5,10319373523295-7,45848423297991i</v>
      </c>
      <c r="AQ400" s="32">
        <f t="shared" si="350"/>
        <v>19.1207092208678</v>
      </c>
      <c r="AR400" s="31">
        <f t="shared" si="351"/>
        <v>-55.6195489916873</v>
      </c>
      <c r="AS400" t="str">
        <f t="shared" si="327"/>
        <v>-0,000100699300699301</v>
      </c>
      <c r="AT400" t="str">
        <f t="shared" si="328"/>
        <v>0,0932787979331488i</v>
      </c>
      <c r="AU400">
        <f t="shared" si="352"/>
        <v>0.0932787979331488</v>
      </c>
      <c r="AV400">
        <f t="shared" si="353"/>
        <v>1.5707963267949</v>
      </c>
      <c r="AW400" t="str">
        <f t="shared" si="329"/>
        <v>1+4,77570336391141i</v>
      </c>
      <c r="AX400">
        <f t="shared" si="354"/>
        <v>4.87927685421464</v>
      </c>
      <c r="AY400">
        <f t="shared" si="355"/>
        <v>1.36438533564385</v>
      </c>
      <c r="AZ400" t="str">
        <f t="shared" si="330"/>
        <v>1+228,319265078913i</v>
      </c>
      <c r="BA400">
        <f t="shared" si="356"/>
        <v>228.32145498436</v>
      </c>
      <c r="BB400">
        <f t="shared" si="357"/>
        <v>1.5664165229031</v>
      </c>
      <c r="BC400" s="30" t="str">
        <f t="shared" si="358"/>
        <v>-0,0101366571578075+0,0494892195569207i</v>
      </c>
      <c r="BD400" s="32">
        <f t="shared" si="359"/>
        <v>-25.9313044771061</v>
      </c>
      <c r="BE400" s="31">
        <f t="shared" si="360"/>
        <v>101.575534359972</v>
      </c>
      <c r="BF400" s="30" t="str">
        <f t="shared" si="361"/>
        <v>0,0662682586950017-0,110576012791968i</v>
      </c>
      <c r="BG400" s="68">
        <f t="shared" si="362"/>
        <v>-17.794072190831</v>
      </c>
      <c r="BH400" s="31">
        <f t="shared" si="363"/>
        <v>-59.0657223764182</v>
      </c>
      <c r="BI400" s="30" t="str">
        <f t="shared" si="369"/>
        <v>0,317385238463847+0,328157172791076i</v>
      </c>
      <c r="BJ400" s="68">
        <f t="shared" si="364"/>
        <v>-6.81059525623835</v>
      </c>
      <c r="BK400" s="31">
        <f t="shared" si="370"/>
        <v>45.9559853682849</v>
      </c>
      <c r="BL400" s="32">
        <f t="shared" si="365"/>
        <v>-17.794072190831</v>
      </c>
      <c r="BM400" s="31">
        <f t="shared" si="366"/>
        <v>-59.0657223764182</v>
      </c>
      <c r="BO400">
        <f t="shared" si="367"/>
        <v>0</v>
      </c>
      <c r="BP400">
        <f t="shared" si="368"/>
        <v>0</v>
      </c>
    </row>
    <row r="401" spans="14:68">
      <c r="N401" s="7">
        <v>83</v>
      </c>
      <c r="O401" s="18">
        <f t="shared" si="371"/>
        <v>67608.2975391983</v>
      </c>
      <c r="P401" s="86" t="str">
        <f t="shared" si="319"/>
        <v>60</v>
      </c>
      <c r="Q401" s="4" t="str">
        <f t="shared" si="320"/>
        <v>1+555,066070009177i</v>
      </c>
      <c r="R401" s="4">
        <f t="shared" si="331"/>
        <v>555.066970802112</v>
      </c>
      <c r="S401" s="4">
        <f t="shared" si="332"/>
        <v>1.56899474141231</v>
      </c>
      <c r="T401" s="4" t="str">
        <f t="shared" si="321"/>
        <v>1+6,66079284011013i</v>
      </c>
      <c r="U401" s="4">
        <f t="shared" si="333"/>
        <v>6.7354406877993</v>
      </c>
      <c r="V401" s="4">
        <f t="shared" si="334"/>
        <v>1.42177701480753</v>
      </c>
      <c r="W401" t="str">
        <f t="shared" si="322"/>
        <v>1-9,29240072560006i</v>
      </c>
      <c r="X401" s="4">
        <f t="shared" si="335"/>
        <v>9.34605324429155</v>
      </c>
      <c r="Y401" s="4">
        <f t="shared" si="336"/>
        <v>-1.4635940744458</v>
      </c>
      <c r="Z401" t="str">
        <f t="shared" si="323"/>
        <v>0,962686678398785+2,47941840934962i</v>
      </c>
      <c r="AA401" s="4">
        <f t="shared" si="337"/>
        <v>2.65975211051487</v>
      </c>
      <c r="AB401" s="4">
        <f t="shared" si="338"/>
        <v>1.20044172366514</v>
      </c>
      <c r="AC401" s="67" t="str">
        <f t="shared" si="339"/>
        <v>-2,42002063635882-0,829834340414825i</v>
      </c>
      <c r="AD401" s="68">
        <f t="shared" si="340"/>
        <v>8.1591793942465</v>
      </c>
      <c r="AE401" s="31">
        <f t="shared" si="341"/>
        <v>-161.072962107488</v>
      </c>
      <c r="AF401" s="32" t="str">
        <f t="shared" si="342"/>
        <v>326,048966736478</v>
      </c>
      <c r="AG401" s="32" t="str">
        <f t="shared" si="324"/>
        <v>1+356,828187863042i</v>
      </c>
      <c r="AH401" s="32">
        <f t="shared" si="343"/>
        <v>356.829589094882</v>
      </c>
      <c r="AI401" s="32">
        <f t="shared" si="344"/>
        <v>1.56799386494888</v>
      </c>
      <c r="AJ401" s="32" t="str">
        <f t="shared" si="325"/>
        <v>1+6,66079284011013i</v>
      </c>
      <c r="AK401" s="32">
        <f t="shared" si="345"/>
        <v>6.7354406877993</v>
      </c>
      <c r="AL401" s="32">
        <f t="shared" si="346"/>
        <v>1.42177701480753</v>
      </c>
      <c r="AM401" s="32" t="str">
        <f t="shared" si="326"/>
        <v>1-1,09926269217334i</v>
      </c>
      <c r="AN401" s="32">
        <f t="shared" si="347"/>
        <v>1.48606139388794</v>
      </c>
      <c r="AO401" s="32">
        <f t="shared" si="348"/>
        <v>-0.83264752075583</v>
      </c>
      <c r="AP401" s="30" t="str">
        <f t="shared" si="349"/>
        <v>5,10307494137121-7,58982565022701i</v>
      </c>
      <c r="AQ401" s="32">
        <f t="shared" si="350"/>
        <v>19.2244947272897</v>
      </c>
      <c r="AR401" s="31">
        <f t="shared" si="351"/>
        <v>-56.0847971681371</v>
      </c>
      <c r="AS401" t="str">
        <f t="shared" si="327"/>
        <v>-0,000100699300699301</v>
      </c>
      <c r="AT401" t="str">
        <f t="shared" si="328"/>
        <v>0,0954515402533637i</v>
      </c>
      <c r="AU401">
        <f t="shared" si="352"/>
        <v>0.0954515402533637</v>
      </c>
      <c r="AV401">
        <f t="shared" si="353"/>
        <v>1.5707963267949</v>
      </c>
      <c r="AW401" t="str">
        <f t="shared" si="329"/>
        <v>1+4,88694378550218i</v>
      </c>
      <c r="AX401">
        <f t="shared" si="354"/>
        <v>4.98820805126033</v>
      </c>
      <c r="AY401">
        <f t="shared" si="355"/>
        <v>1.36895583990437</v>
      </c>
      <c r="AZ401" t="str">
        <f t="shared" si="330"/>
        <v>1+233,637503957944i</v>
      </c>
      <c r="BA401">
        <f t="shared" si="356"/>
        <v>233.639644015519</v>
      </c>
      <c r="BB401">
        <f t="shared" si="357"/>
        <v>1.56651621817959</v>
      </c>
      <c r="BC401" s="30" t="str">
        <f t="shared" si="358"/>
        <v>-0,0096987678036699+0,0484523113140625i</v>
      </c>
      <c r="BD401" s="32">
        <f t="shared" si="359"/>
        <v>-26.1230901859444</v>
      </c>
      <c r="BE401" s="31">
        <f t="shared" si="360"/>
        <v>101.319375874178</v>
      </c>
      <c r="BF401" s="30" t="str">
        <f t="shared" si="361"/>
        <v>0,0636786100330125-0,109207222676118i</v>
      </c>
      <c r="BG401" s="68">
        <f t="shared" si="362"/>
        <v>-17.9639107916979</v>
      </c>
      <c r="BH401" s="31">
        <f t="shared" si="363"/>
        <v>-59.7535862333098</v>
      </c>
      <c r="BI401" s="30" t="str">
        <f t="shared" si="369"/>
        <v>0,31825105628317+0,320867732370199i</v>
      </c>
      <c r="BJ401" s="68">
        <f t="shared" si="364"/>
        <v>-6.89859545865466</v>
      </c>
      <c r="BK401" s="31">
        <f t="shared" si="370"/>
        <v>45.234578706041</v>
      </c>
      <c r="BL401" s="32">
        <f t="shared" si="365"/>
        <v>-17.9639107916979</v>
      </c>
      <c r="BM401" s="31">
        <f t="shared" si="366"/>
        <v>-59.7535862333098</v>
      </c>
      <c r="BO401">
        <f t="shared" si="367"/>
        <v>0</v>
      </c>
      <c r="BP401">
        <f t="shared" si="368"/>
        <v>0</v>
      </c>
    </row>
    <row r="402" spans="14:68">
      <c r="N402" s="7">
        <v>84</v>
      </c>
      <c r="O402" s="18">
        <f t="shared" si="371"/>
        <v>69183.0970918937</v>
      </c>
      <c r="P402" s="86" t="str">
        <f t="shared" si="319"/>
        <v>60</v>
      </c>
      <c r="Q402" s="4" t="str">
        <f t="shared" si="320"/>
        <v>1+567,995219693207i</v>
      </c>
      <c r="R402" s="4">
        <f t="shared" si="331"/>
        <v>567.996099981624</v>
      </c>
      <c r="S402" s="4">
        <f t="shared" si="332"/>
        <v>1.56903575041658</v>
      </c>
      <c r="T402" s="4" t="str">
        <f t="shared" si="321"/>
        <v>1+6,81594263631849i</v>
      </c>
      <c r="U402" s="4">
        <f t="shared" si="333"/>
        <v>6.88890949436732</v>
      </c>
      <c r="V402" s="4">
        <f t="shared" si="334"/>
        <v>1.42512077808273</v>
      </c>
      <c r="W402" t="str">
        <f t="shared" si="322"/>
        <v>1-9,50884854397111i</v>
      </c>
      <c r="X402" s="4">
        <f t="shared" si="335"/>
        <v>9.56128655737195</v>
      </c>
      <c r="Y402" s="4">
        <f t="shared" si="336"/>
        <v>-1.46601626916061</v>
      </c>
      <c r="Z402" t="str">
        <f t="shared" si="323"/>
        <v>0,960928155728764+2,53717148321935i</v>
      </c>
      <c r="AA402" s="4">
        <f t="shared" si="337"/>
        <v>2.71304663722055</v>
      </c>
      <c r="AB402" s="4">
        <f t="shared" si="338"/>
        <v>1.20875085010297</v>
      </c>
      <c r="AC402" s="67" t="str">
        <f t="shared" si="339"/>
        <v>-2,43202733831549-0,813811626920061i</v>
      </c>
      <c r="AD402" s="68">
        <f t="shared" si="340"/>
        <v>8.18030901681521</v>
      </c>
      <c r="AE402" s="31">
        <f t="shared" si="341"/>
        <v>-161.49858763764</v>
      </c>
      <c r="AF402" s="32" t="str">
        <f t="shared" si="342"/>
        <v>326,048966736478</v>
      </c>
      <c r="AG402" s="32" t="str">
        <f t="shared" si="324"/>
        <v>1+365,139784088491i</v>
      </c>
      <c r="AH402" s="32">
        <f t="shared" si="343"/>
        <v>365.141153424521</v>
      </c>
      <c r="AI402" s="32">
        <f t="shared" si="344"/>
        <v>1.56805765644598</v>
      </c>
      <c r="AJ402" s="32" t="str">
        <f t="shared" si="325"/>
        <v>1+6,81594263631849i</v>
      </c>
      <c r="AK402" s="32">
        <f t="shared" si="345"/>
        <v>6.88890949436732</v>
      </c>
      <c r="AL402" s="32">
        <f t="shared" si="346"/>
        <v>1.42512077808273</v>
      </c>
      <c r="AM402" s="32" t="str">
        <f t="shared" si="326"/>
        <v>1-1,12486780957666i</v>
      </c>
      <c r="AN402" s="32">
        <f t="shared" si="347"/>
        <v>1.50510052455701</v>
      </c>
      <c r="AO402" s="32">
        <f t="shared" si="348"/>
        <v>-0.844095636165295</v>
      </c>
      <c r="AP402" s="30" t="str">
        <f t="shared" si="349"/>
        <v>5,10296149403185-7,725191263522i</v>
      </c>
      <c r="AQ402" s="32">
        <f t="shared" si="350"/>
        <v>19.3307606268613</v>
      </c>
      <c r="AR402" s="31">
        <f t="shared" si="351"/>
        <v>-56.5527973246705</v>
      </c>
      <c r="AS402" t="str">
        <f t="shared" si="327"/>
        <v>-0,000100699300699301</v>
      </c>
      <c r="AT402" t="str">
        <f t="shared" si="328"/>
        <v>0,0976748922436713i</v>
      </c>
      <c r="AU402">
        <f t="shared" si="352"/>
        <v>0.0976748922436713</v>
      </c>
      <c r="AV402">
        <f t="shared" si="353"/>
        <v>1.5707963267949</v>
      </c>
      <c r="AW402" t="str">
        <f t="shared" si="329"/>
        <v>1+5,00077532937434i</v>
      </c>
      <c r="AX402">
        <f t="shared" si="354"/>
        <v>5.09977978886138</v>
      </c>
      <c r="AY402">
        <f t="shared" si="355"/>
        <v>1.37343058285995</v>
      </c>
      <c r="AZ402" t="str">
        <f t="shared" si="330"/>
        <v>1+239,07962053413i</v>
      </c>
      <c r="BA402">
        <f t="shared" si="356"/>
        <v>239.081711878478</v>
      </c>
      <c r="BB402">
        <f t="shared" si="357"/>
        <v>1.56661364419674</v>
      </c>
      <c r="BC402" s="30" t="str">
        <f t="shared" si="358"/>
        <v>-0,00927903543510817+0,0474333355159374i</v>
      </c>
      <c r="BD402" s="32">
        <f t="shared" si="359"/>
        <v>-26.3152310554076</v>
      </c>
      <c r="BE402" s="31">
        <f t="shared" si="360"/>
        <v>101.068574088015</v>
      </c>
      <c r="BF402" s="30" t="str">
        <f t="shared" si="361"/>
        <v>0,0611686677978514-0,107807781798557i</v>
      </c>
      <c r="BG402" s="68">
        <f t="shared" si="362"/>
        <v>-18.1349220385924</v>
      </c>
      <c r="BH402" s="31">
        <f t="shared" si="363"/>
        <v>-60.4300135496254</v>
      </c>
      <c r="BI402" s="30" t="str">
        <f t="shared" si="369"/>
        <v>0,319081028600313+0,313732808148531i</v>
      </c>
      <c r="BJ402" s="68">
        <f t="shared" si="364"/>
        <v>-6.98447042854633</v>
      </c>
      <c r="BK402" s="31">
        <f t="shared" si="370"/>
        <v>44.5157767633444</v>
      </c>
      <c r="BL402" s="32">
        <f t="shared" si="365"/>
        <v>-18.1349220385924</v>
      </c>
      <c r="BM402" s="31">
        <f t="shared" si="366"/>
        <v>-60.4300135496254</v>
      </c>
      <c r="BO402">
        <f t="shared" si="367"/>
        <v>0</v>
      </c>
      <c r="BP402">
        <f t="shared" si="368"/>
        <v>0</v>
      </c>
    </row>
    <row r="403" spans="14:68">
      <c r="N403" s="7">
        <v>85</v>
      </c>
      <c r="O403" s="18">
        <f t="shared" si="371"/>
        <v>70794.5784384138</v>
      </c>
      <c r="P403" s="86" t="str">
        <f t="shared" ref="P403:P466" si="372">COMPLEX(Adc,0)</f>
        <v>60</v>
      </c>
      <c r="Q403" s="4" t="str">
        <f t="shared" ref="Q403:Q466" si="373">IMSUM(COMPLEX(1,0),IMDIV(COMPLEX(0,2*PI()*O403),COMPLEX(wp_lf,0)))</f>
        <v>1+581,225527961026i</v>
      </c>
      <c r="R403" s="4">
        <f t="shared" si="331"/>
        <v>581.226388211662</v>
      </c>
      <c r="S403" s="4">
        <f t="shared" si="332"/>
        <v>1.56907582594766</v>
      </c>
      <c r="T403" s="4" t="str">
        <f t="shared" ref="T403:T466" si="374">IMSUM(COMPLEX(1,0),IMDIV(COMPLEX(0,2*PI()*O403),COMPLEX(wz_esr,0)))</f>
        <v>1+6,97470633553232i</v>
      </c>
      <c r="U403" s="4">
        <f t="shared" si="333"/>
        <v>7.04602926951873</v>
      </c>
      <c r="V403" s="4">
        <f t="shared" si="334"/>
        <v>1.42839160122457</v>
      </c>
      <c r="W403" t="str">
        <f t="shared" ref="W403:W466" si="375">IMSUB(COMPLEX(1,0),IMDIV(COMPLEX(0,2*PI()*O403),COMPLEX(wz_rhp,0)))</f>
        <v>1-9,73033807970469i</v>
      </c>
      <c r="X403" s="4">
        <f t="shared" si="335"/>
        <v>9.78158878431061</v>
      </c>
      <c r="Y403" s="4">
        <f t="shared" si="336"/>
        <v>-1.46838452099897</v>
      </c>
      <c r="Z403" t="str">
        <f t="shared" ref="Z403:Z466" si="376">IMSUM(COMPLEX(1,0),IMDIV(COMPLEX(0,2*PI()*O403),COMPLEX(Q*(wsl/2),0)),IMDIV(IMPOWER(COMPLEX(0,2*PI()*O403),2),IMPOWER(COMPLEX(wsl/2,0),2)))</f>
        <v>0,95908675643859+2,59626979899293i</v>
      </c>
      <c r="AA403" s="4">
        <f t="shared" si="337"/>
        <v>2.76775437413414</v>
      </c>
      <c r="AB403" s="4">
        <f t="shared" si="338"/>
        <v>1.21693589277189</v>
      </c>
      <c r="AC403" s="67" t="str">
        <f t="shared" si="339"/>
        <v>-2,44363562849364-0,797847076197806i</v>
      </c>
      <c r="AD403" s="68">
        <f t="shared" si="340"/>
        <v>8.20064450611224</v>
      </c>
      <c r="AE403" s="31">
        <f t="shared" si="341"/>
        <v>-161.918138670098</v>
      </c>
      <c r="AF403" s="32" t="str">
        <f t="shared" si="342"/>
        <v>326,048966736478</v>
      </c>
      <c r="AG403" s="32" t="str">
        <f t="shared" ref="AG403:AG466" si="377">IMSUM(COMPLEX(1,0),IMDIV(COMPLEX(0,2*PI()*O403),COMPLEX(wp_lf_DCM,0)))</f>
        <v>1+373,64498226066i</v>
      </c>
      <c r="AH403" s="32">
        <f t="shared" si="343"/>
        <v>373.64632042691</v>
      </c>
      <c r="AI403" s="32">
        <f t="shared" si="344"/>
        <v>1.56811999589286</v>
      </c>
      <c r="AJ403" s="32" t="str">
        <f t="shared" ref="AJ403:AJ466" si="378">IMSUM(COMPLEX(1,0),IMDIV(COMPLEX(0,2*PI()*O403),COMPLEX(wz1_dcm,0)))</f>
        <v>1+6,97470633553232i</v>
      </c>
      <c r="AK403" s="32">
        <f t="shared" si="345"/>
        <v>7.04602926951873</v>
      </c>
      <c r="AL403" s="32">
        <f t="shared" si="346"/>
        <v>1.42839160122457</v>
      </c>
      <c r="AM403" s="32" t="str">
        <f t="shared" ref="AM403:AM466" si="379">IMSUB(COMPLEX(1,0),IMDIV(COMPLEX(0,2*PI()*O403),COMPLEX(wz2_dcm,0)))</f>
        <v>1-1,15106934678199i</v>
      </c>
      <c r="AN403" s="32">
        <f t="shared" si="347"/>
        <v>1.52478216185169</v>
      </c>
      <c r="AO403" s="32">
        <f t="shared" si="348"/>
        <v>-0.855512922613187</v>
      </c>
      <c r="AP403" s="30" t="str">
        <f t="shared" si="349"/>
        <v>5,10285315258904-7,86465284750542i</v>
      </c>
      <c r="AQ403" s="32">
        <f t="shared" si="350"/>
        <v>19.4394872794866</v>
      </c>
      <c r="AR403" s="31">
        <f t="shared" si="351"/>
        <v>-57.0231270772691</v>
      </c>
      <c r="AS403" t="str">
        <f t="shared" ref="AS403:AS466" si="380">COMPLEX(Adc_ea,0)</f>
        <v>-0,000100699300699301</v>
      </c>
      <c r="AT403" t="str">
        <f t="shared" ref="AT403:AT466" si="381">COMPLEX(0,2*PI()*O403*wp0_ea)</f>
        <v>0,0999500327547266i</v>
      </c>
      <c r="AU403">
        <f t="shared" si="352"/>
        <v>0.0999500327547266</v>
      </c>
      <c r="AV403">
        <f t="shared" si="353"/>
        <v>1.5707963267949</v>
      </c>
      <c r="AW403" t="str">
        <f t="shared" ref="AW403:AW466" si="382">IMSUM(COMPLEX(1,0),IMDIV(COMPLEX(0,2*PI()*O403),COMPLEX(wp1_ea,0)))</f>
        <v>1+5,11725835051924i</v>
      </c>
      <c r="AX403">
        <f t="shared" si="354"/>
        <v>5.21405149820741</v>
      </c>
      <c r="AY403">
        <f t="shared" si="355"/>
        <v>1.37781121994472</v>
      </c>
      <c r="AZ403" t="str">
        <f t="shared" ref="AZ403:AZ466" si="383">IMSUM(COMPLEX(1,0),IMDIV(COMPLEX(0,2*PI()*O403),COMPLEX(wz_ea,0)))</f>
        <v>1+244,648500289717i</v>
      </c>
      <c r="BA403">
        <f t="shared" si="356"/>
        <v>244.650544029658</v>
      </c>
      <c r="BB403">
        <f t="shared" si="357"/>
        <v>1.56670885260372</v>
      </c>
      <c r="BC403" s="30" t="str">
        <f t="shared" si="358"/>
        <v>-0,00887677163918079+0,0464322302214531i</v>
      </c>
      <c r="BD403" s="32">
        <f t="shared" si="359"/>
        <v>-26.5077123321496</v>
      </c>
      <c r="BE403" s="31">
        <f t="shared" si="360"/>
        <v>100.823037111373</v>
      </c>
      <c r="BF403" s="30" t="str">
        <f t="shared" si="361"/>
        <v>0,0587374145670338-0,106381145781166i</v>
      </c>
      <c r="BG403" s="68">
        <f t="shared" si="362"/>
        <v>-18.3070678260374</v>
      </c>
      <c r="BH403" s="31">
        <f t="shared" si="363"/>
        <v>-61.095101558725</v>
      </c>
      <c r="BI403" s="30" t="str">
        <f t="shared" si="369"/>
        <v>0,319876509483372+0,306749579716021i</v>
      </c>
      <c r="BJ403" s="68">
        <f t="shared" si="364"/>
        <v>-7.06822505266301</v>
      </c>
      <c r="BK403" s="31">
        <f t="shared" si="370"/>
        <v>43.7999100341037</v>
      </c>
      <c r="BL403" s="32">
        <f t="shared" si="365"/>
        <v>-18.3070678260374</v>
      </c>
      <c r="BM403" s="31">
        <f t="shared" si="366"/>
        <v>-61.095101558725</v>
      </c>
      <c r="BO403">
        <f t="shared" si="367"/>
        <v>0</v>
      </c>
      <c r="BP403">
        <f t="shared" si="368"/>
        <v>0</v>
      </c>
    </row>
    <row r="404" spans="14:68">
      <c r="N404" s="7">
        <v>86</v>
      </c>
      <c r="O404" s="18">
        <f t="shared" si="371"/>
        <v>72443.5960074991</v>
      </c>
      <c r="P404" s="86" t="str">
        <f t="shared" si="372"/>
        <v>60</v>
      </c>
      <c r="Q404" s="4" t="str">
        <f t="shared" si="373"/>
        <v>1+594,7640096972i</v>
      </c>
      <c r="R404" s="4">
        <f t="shared" ref="R404:R467" si="384">IMABS(Q404)</f>
        <v>594.764850366169</v>
      </c>
      <c r="S404" s="4">
        <f t="shared" ref="S404:S467" si="385">IMARGUMENT(Q404)</f>
        <v>1.56911498925362</v>
      </c>
      <c r="T404" s="4" t="str">
        <f t="shared" si="374"/>
        <v>1+7,13716811636641i</v>
      </c>
      <c r="U404" s="4">
        <f t="shared" ref="U404:U467" si="386">IMABS(T404)</f>
        <v>7.20688342636935</v>
      </c>
      <c r="V404" s="4">
        <f t="shared" ref="V404:V467" si="387">IMARGUMENT(T404)</f>
        <v>1.43159093838336</v>
      </c>
      <c r="W404" t="str">
        <f t="shared" si="375"/>
        <v>1-9,95698676948439i</v>
      </c>
      <c r="X404" s="4">
        <f t="shared" ref="X404:X467" si="388">IMABS(W404)</f>
        <v>10.007076772349</v>
      </c>
      <c r="Y404" s="4">
        <f t="shared" ref="Y404:Y467" si="389">IMARGUMENT(W404)</f>
        <v>-1.47069997932035</v>
      </c>
      <c r="Z404" t="str">
        <f t="shared" si="376"/>
        <v>0,957158574673488+2,65674469137963i</v>
      </c>
      <c r="AA404" s="4">
        <f t="shared" ref="AA404:AA467" si="390">IMABS(Z404)</f>
        <v>2.82390596377515</v>
      </c>
      <c r="AB404" s="4">
        <f t="shared" ref="AB404:AB467" si="391">IMARGUMENT(Z404)</f>
        <v>1.22499735819405</v>
      </c>
      <c r="AC404" s="67" t="str">
        <f t="shared" ref="AC404:AC467" si="392">(IMDIV(IMPRODUCT(P404,T404,W404),IMPRODUCT(Q404,Z404)))</f>
        <v>-2,45485303122908-0,781950672389015i</v>
      </c>
      <c r="AD404" s="68">
        <f t="shared" ref="AD404:AD467" si="393">20*LOG(IMABS(AC404))</f>
        <v>8.22020908333896</v>
      </c>
      <c r="AE404" s="31">
        <f t="shared" ref="AE404:AE467" si="394">(180/PI())*IMARGUMENT(AC404)</f>
        <v>-162.331627980637</v>
      </c>
      <c r="AF404" s="32" t="str">
        <f t="shared" ref="AF404:AF467" si="395">COMPLEX($B$68,0)</f>
        <v>326,048966736478</v>
      </c>
      <c r="AG404" s="32" t="str">
        <f t="shared" si="377"/>
        <v>1+382,348291948201i</v>
      </c>
      <c r="AH404" s="32">
        <f t="shared" ref="AH404:AH467" si="396">IMABS(AG404)</f>
        <v>382.349599654173</v>
      </c>
      <c r="AI404" s="32">
        <f t="shared" ref="AI404:AI467" si="397">IMARGUMENT(AG404)</f>
        <v>1.56818091634078</v>
      </c>
      <c r="AJ404" s="32" t="str">
        <f t="shared" si="378"/>
        <v>1+7,13716811636641i</v>
      </c>
      <c r="AK404" s="32">
        <f t="shared" ref="AK404:AK467" si="398">IMABS(AJ404)</f>
        <v>7.20688342636935</v>
      </c>
      <c r="AL404" s="32">
        <f t="shared" ref="AL404:AL467" si="399">IMARGUMENT(AJ404)</f>
        <v>1.43159093838336</v>
      </c>
      <c r="AM404" s="32" t="str">
        <f t="shared" si="379"/>
        <v>1-1,1778811961912i</v>
      </c>
      <c r="AN404" s="32">
        <f t="shared" ref="AN404:AN467" si="400">IMABS(AM404)</f>
        <v>1.54512268520685</v>
      </c>
      <c r="AO404" s="32">
        <f t="shared" ref="AO404:AO467" si="401">IMARGUMENT(AM404)</f>
        <v>-0.866893528266395</v>
      </c>
      <c r="AP404" s="30" t="str">
        <f t="shared" ref="AP404:AP467" si="402">(IMDIV(IMPRODUCT(AF404,AJ404,AM404),IMPRODUCT(AG404)))</f>
        <v>5,1027496872461-8,00828434842234i</v>
      </c>
      <c r="AQ404" s="32">
        <f t="shared" ref="AQ404:AQ467" si="403">20*LOG(IMABS(AP404))</f>
        <v>19.5506530905512</v>
      </c>
      <c r="AR404" s="31">
        <f t="shared" ref="AR404:AR467" si="404">(180/PI())*IMARGUMENT(AP404)</f>
        <v>-57.4953697176142</v>
      </c>
      <c r="AS404" t="str">
        <f t="shared" si="380"/>
        <v>-0,000100699300699301</v>
      </c>
      <c r="AT404" t="str">
        <f t="shared" si="381"/>
        <v>0,102278168096144i</v>
      </c>
      <c r="AU404">
        <f t="shared" ref="AU404:AU467" si="405">IMABS(AT404)</f>
        <v>0.102278168096144</v>
      </c>
      <c r="AV404">
        <f t="shared" ref="AV404:AV467" si="406">IMARGUMENT(AT404)</f>
        <v>1.5707963267949</v>
      </c>
      <c r="AW404" t="str">
        <f t="shared" si="382"/>
        <v>1+5,23645460977652i</v>
      </c>
      <c r="AX404">
        <f t="shared" ref="AX404:AX467" si="407">IMABS(AW404)</f>
        <v>5.33108402487241</v>
      </c>
      <c r="AY404">
        <f t="shared" ref="AY404:AY467" si="408">IMARGUMENT(AW404)</f>
        <v>1.38209940099393</v>
      </c>
      <c r="AZ404" t="str">
        <f t="shared" si="383"/>
        <v>1+250,347095918464i</v>
      </c>
      <c r="BA404">
        <f t="shared" ref="BA404:BA467" si="409">IMABS(AZ404)</f>
        <v>250.34909313758</v>
      </c>
      <c r="BB404">
        <f t="shared" ref="BB404:BB467" si="410">IMARGUMENT(AZ404)</f>
        <v>1.56680189387436</v>
      </c>
      <c r="BC404" s="30" t="str">
        <f t="shared" ref="BC404:BC467" si="411">IMPRODUCT(AS404,IMDIV(AZ404,IMPRODUCT(AT404,AW404)))</f>
        <v>-0,00849130860193386+0,0454489150783198i</v>
      </c>
      <c r="BD404" s="32">
        <f t="shared" ref="BD404:BD467" si="412">20*LOG(IMABS(BC404))</f>
        <v>-26.7005198244628</v>
      </c>
      <c r="BE404" s="31">
        <f t="shared" ref="BE404:BE467" si="413">(180/PI())*IMARGUMENT(BC404)</f>
        <v>100.582673307594</v>
      </c>
      <c r="BF404" s="30" t="str">
        <f t="shared" ref="BF404:BF467" si="414">IMPRODUCT(AC404,BC404)</f>
        <v>0,0563837243654023-0,104930622475342i</v>
      </c>
      <c r="BG404" s="68">
        <f t="shared" ref="BG404:BG467" si="415">20*LOG(IMABS(BF404))</f>
        <v>-18.4803107411238</v>
      </c>
      <c r="BH404" s="31">
        <f t="shared" ref="BH404:BH467" si="416">(180/PI())*IMARGUMENT(BF404)</f>
        <v>-61.7489546730424</v>
      </c>
      <c r="BI404" s="30" t="str">
        <f t="shared" si="369"/>
        <v>0,320638812961656+0,299915250976062i</v>
      </c>
      <c r="BJ404" s="68">
        <f t="shared" ref="BJ404:BJ467" si="417">20*LOG(IMABS(BI404))</f>
        <v>-7.14986673391158</v>
      </c>
      <c r="BK404" s="31">
        <f t="shared" si="370"/>
        <v>43.0873035899801</v>
      </c>
      <c r="BL404" s="32">
        <f t="shared" ref="BL404:BL467" si="418">IF($B$31=0,BJ404,BG404)</f>
        <v>-18.4803107411238</v>
      </c>
      <c r="BM404" s="31">
        <f t="shared" ref="BM404:BM467" si="419">IF($B$31=0,BK404,BH404)</f>
        <v>-61.7489546730424</v>
      </c>
      <c r="BO404">
        <f t="shared" ref="BO404:BO467" si="420">SUM((BL405&lt;0)*(BL404&gt;0))*O404</f>
        <v>0</v>
      </c>
      <c r="BP404">
        <f t="shared" ref="BP404:BP467" si="421">IF(BO404&gt;0,BM404,0)</f>
        <v>0</v>
      </c>
    </row>
    <row r="405" spans="14:68">
      <c r="N405" s="7">
        <v>87</v>
      </c>
      <c r="O405" s="18">
        <f t="shared" si="371"/>
        <v>74131.0241300919</v>
      </c>
      <c r="P405" s="86" t="str">
        <f t="shared" si="372"/>
        <v>60</v>
      </c>
      <c r="Q405" s="4" t="str">
        <f t="shared" si="373"/>
        <v>1+608,617843183948i</v>
      </c>
      <c r="R405" s="4">
        <f t="shared" si="384"/>
        <v>608.618664716981</v>
      </c>
      <c r="S405" s="4">
        <f t="shared" si="385"/>
        <v>1.56915326109889</v>
      </c>
      <c r="T405" s="4" t="str">
        <f t="shared" si="374"/>
        <v>1+7,30341411820739i</v>
      </c>
      <c r="U405" s="4">
        <f t="shared" si="386"/>
        <v>7.37155735120002</v>
      </c>
      <c r="V405" s="4">
        <f t="shared" si="387"/>
        <v>1.4347202237718</v>
      </c>
      <c r="W405" t="str">
        <f t="shared" si="375"/>
        <v>1-10,1889147854456i</v>
      </c>
      <c r="X405" s="4">
        <f t="shared" si="388"/>
        <v>10.2378701156575</v>
      </c>
      <c r="Y405" s="4">
        <f t="shared" si="389"/>
        <v>-1.4729637724452</v>
      </c>
      <c r="Z405" t="str">
        <f t="shared" si="376"/>
        <v>0,955139520501418+2,71862822496787i</v>
      </c>
      <c r="AA405" s="4">
        <f t="shared" si="390"/>
        <v>2.88153273957032</v>
      </c>
      <c r="AB405" s="4">
        <f t="shared" si="391"/>
        <v>1.23293587801092</v>
      </c>
      <c r="AC405" s="67" t="str">
        <f t="shared" si="392"/>
        <v>-2,46568736625434-0,766131768389759i</v>
      </c>
      <c r="AD405" s="68">
        <f t="shared" si="393"/>
        <v>8.23902578781469</v>
      </c>
      <c r="AE405" s="31">
        <f t="shared" si="394"/>
        <v>-162.739075423027</v>
      </c>
      <c r="AF405" s="32" t="str">
        <f t="shared" si="395"/>
        <v>326,048966736478</v>
      </c>
      <c r="AG405" s="32" t="str">
        <f t="shared" si="377"/>
        <v>1+391,25432776111i</v>
      </c>
      <c r="AH405" s="32">
        <f t="shared" si="396"/>
        <v>391.255605700159</v>
      </c>
      <c r="AI405" s="32">
        <f t="shared" si="397"/>
        <v>1.56824045008877</v>
      </c>
      <c r="AJ405" s="32" t="str">
        <f t="shared" si="378"/>
        <v>1+7,30341411820739i</v>
      </c>
      <c r="AK405" s="32">
        <f t="shared" si="398"/>
        <v>7.37155735120002</v>
      </c>
      <c r="AL405" s="32">
        <f t="shared" si="399"/>
        <v>1.4347202237718</v>
      </c>
      <c r="AM405" s="32" t="str">
        <f t="shared" si="379"/>
        <v>1-1,20531757380173i</v>
      </c>
      <c r="AN405" s="32">
        <f t="shared" si="400"/>
        <v>1.56613870832544</v>
      </c>
      <c r="AO405" s="32">
        <f t="shared" si="401"/>
        <v>-0.878231696172826</v>
      </c>
      <c r="AP405" s="30" t="str">
        <f t="shared" si="402"/>
        <v>5,10265087854839-8,15616192333823i</v>
      </c>
      <c r="AQ405" s="32">
        <f t="shared" si="403"/>
        <v>19.6642345530586</v>
      </c>
      <c r="AR405" s="31">
        <f t="shared" si="404"/>
        <v>-57.9691150729122</v>
      </c>
      <c r="AS405" t="str">
        <f t="shared" si="380"/>
        <v>-0,000100699300699301</v>
      </c>
      <c r="AT405" t="str">
        <f t="shared" si="381"/>
        <v>0,104660532676097i</v>
      </c>
      <c r="AU405">
        <f t="shared" si="405"/>
        <v>0.104660532676097</v>
      </c>
      <c r="AV405">
        <f t="shared" si="406"/>
        <v>1.5707963267949</v>
      </c>
      <c r="AW405" t="str">
        <f t="shared" si="382"/>
        <v>1+5,35842730658057i</v>
      </c>
      <c r="AX405">
        <f t="shared" si="407"/>
        <v>5.4509396621049</v>
      </c>
      <c r="AY405">
        <f t="shared" si="408"/>
        <v>1.38629676852792</v>
      </c>
      <c r="AZ405" t="str">
        <f t="shared" si="383"/>
        <v>1+256,178428891203i</v>
      </c>
      <c r="BA405">
        <f t="shared" si="409"/>
        <v>256.180380648412</v>
      </c>
      <c r="BB405">
        <f t="shared" si="410"/>
        <v>1.56689281733395</v>
      </c>
      <c r="BC405" s="30" t="str">
        <f t="shared" si="411"/>
        <v>-0,00812199898052164+0,0444832927377586i</v>
      </c>
      <c r="BD405" s="32">
        <f t="shared" si="412"/>
        <v>-26.8936398852715</v>
      </c>
      <c r="BE405" s="31">
        <f t="shared" si="413"/>
        <v>100.347391393324</v>
      </c>
      <c r="BF405" s="30" t="str">
        <f t="shared" si="414"/>
        <v>0,0541063740039812-0,103459371471078i</v>
      </c>
      <c r="BG405" s="68">
        <f t="shared" si="415"/>
        <v>-18.6546140974568</v>
      </c>
      <c r="BH405" s="31">
        <f t="shared" si="416"/>
        <v>-62.3916840297031</v>
      </c>
      <c r="BI405" s="30" t="str">
        <f t="shared" si="369"/>
        <v>0,321369213218887+0,293227051595372i</v>
      </c>
      <c r="BJ405" s="68">
        <f t="shared" si="417"/>
        <v>-7.22940533221295</v>
      </c>
      <c r="BK405" s="31">
        <f t="shared" si="370"/>
        <v>42.378276320412</v>
      </c>
      <c r="BL405" s="32">
        <f t="shared" si="418"/>
        <v>-18.6546140974568</v>
      </c>
      <c r="BM405" s="31">
        <f t="shared" si="419"/>
        <v>-62.3916840297031</v>
      </c>
      <c r="BO405">
        <f t="shared" si="420"/>
        <v>0</v>
      </c>
      <c r="BP405">
        <f t="shared" si="421"/>
        <v>0</v>
      </c>
    </row>
    <row r="406" spans="14:68">
      <c r="N406" s="7">
        <v>88</v>
      </c>
      <c r="O406" s="18">
        <f t="shared" si="371"/>
        <v>75857.7575029185</v>
      </c>
      <c r="P406" s="86" t="str">
        <f t="shared" si="372"/>
        <v>60</v>
      </c>
      <c r="Q406" s="4" t="str">
        <f t="shared" si="373"/>
        <v>1+622,79437390716i</v>
      </c>
      <c r="R406" s="4">
        <f t="shared" si="384"/>
        <v>622.795176739842</v>
      </c>
      <c r="S406" s="4">
        <f t="shared" si="385"/>
        <v>1.56919066177525</v>
      </c>
      <c r="T406" s="4" t="str">
        <f t="shared" si="374"/>
        <v>1+7,47353248688593i</v>
      </c>
      <c r="U406" s="4">
        <f t="shared" si="386"/>
        <v>7.54013844916255</v>
      </c>
      <c r="V406" s="4">
        <f t="shared" si="387"/>
        <v>1.43778087130321</v>
      </c>
      <c r="W406" t="str">
        <f t="shared" si="375"/>
        <v>1-10,4262450988922i</v>
      </c>
      <c r="X406" s="4">
        <f t="shared" si="388"/>
        <v>10.474091218916</v>
      </c>
      <c r="Y406" s="4">
        <f t="shared" si="389"/>
        <v>-1.47517700780449</v>
      </c>
      <c r="Z406" t="str">
        <f t="shared" si="376"/>
        <v>0,953025311237783+2,78195321122628i</v>
      </c>
      <c r="AA406" s="4">
        <f t="shared" si="390"/>
        <v>2.94066674638798</v>
      </c>
      <c r="AB406" s="4">
        <f t="shared" si="391"/>
        <v>1.24075220228916</v>
      </c>
      <c r="AC406" s="67" t="str">
        <f t="shared" si="392"/>
        <v>-2,4761467054593-0,750399091445924i</v>
      </c>
      <c r="AD406" s="68">
        <f t="shared" si="393"/>
        <v>8.25711743072279</v>
      </c>
      <c r="AE406" s="31">
        <f t="shared" si="394"/>
        <v>-163.140507575413</v>
      </c>
      <c r="AF406" s="32" t="str">
        <f t="shared" si="395"/>
        <v>326,048966736478</v>
      </c>
      <c r="AG406" s="32" t="str">
        <f t="shared" si="377"/>
        <v>1+400,367811797461i</v>
      </c>
      <c r="AH406" s="32">
        <f t="shared" si="396"/>
        <v>400.369060647157</v>
      </c>
      <c r="AI406" s="32">
        <f t="shared" si="397"/>
        <v>1.56829862870071</v>
      </c>
      <c r="AJ406" s="32" t="str">
        <f t="shared" si="378"/>
        <v>1+7,47353248688593i</v>
      </c>
      <c r="AK406" s="32">
        <f t="shared" si="398"/>
        <v>7.54013844916255</v>
      </c>
      <c r="AL406" s="32">
        <f t="shared" si="399"/>
        <v>1.43778087130321</v>
      </c>
      <c r="AM406" s="32" t="str">
        <f t="shared" si="379"/>
        <v>1-1,23339302674415i</v>
      </c>
      <c r="AN406" s="32">
        <f t="shared" si="400"/>
        <v>1.58784708282035</v>
      </c>
      <c r="AO406" s="32">
        <f t="shared" si="401"/>
        <v>-0.889521778237287</v>
      </c>
      <c r="AP406" s="30" t="str">
        <f t="shared" si="402"/>
        <v>5,10255651691786-8,30836398052686i</v>
      </c>
      <c r="AQ406" s="32">
        <f t="shared" si="403"/>
        <v>19.7802062988155</v>
      </c>
      <c r="AR406" s="31">
        <f t="shared" si="404"/>
        <v>-58.4439603283577</v>
      </c>
      <c r="AS406" t="str">
        <f t="shared" si="380"/>
        <v>-0,000100699300699301</v>
      </c>
      <c r="AT406" t="str">
        <f t="shared" si="381"/>
        <v>0,107098389655821i</v>
      </c>
      <c r="AU406">
        <f t="shared" si="405"/>
        <v>0.107098389655821</v>
      </c>
      <c r="AV406">
        <f t="shared" si="406"/>
        <v>1.5707963267949</v>
      </c>
      <c r="AW406" t="str">
        <f t="shared" si="382"/>
        <v>1+5,48324111246972i</v>
      </c>
      <c r="AX406">
        <f t="shared" si="407"/>
        <v>5.57368218482882</v>
      </c>
      <c r="AY406">
        <f t="shared" si="408"/>
        <v>1.39040495616861</v>
      </c>
      <c r="AZ406" t="str">
        <f t="shared" si="383"/>
        <v>1+262,145591057861i</v>
      </c>
      <c r="BA406">
        <f t="shared" si="409"/>
        <v>262.147498387979</v>
      </c>
      <c r="BB406">
        <f t="shared" si="410"/>
        <v>1.56698167118529</v>
      </c>
      <c r="BC406" s="30" t="str">
        <f t="shared" si="411"/>
        <v>-0,00776821572430884+0,0435352502019221i</v>
      </c>
      <c r="BD406" s="32">
        <f t="shared" si="412"/>
        <v>-27.0870593952524</v>
      </c>
      <c r="BE406" s="31">
        <f t="shared" si="413"/>
        <v>100.11710053074</v>
      </c>
      <c r="BF406" s="30" t="str">
        <f t="shared" si="414"/>
        <v>0,0519040539704378-0,101970404337158i</v>
      </c>
      <c r="BG406" s="68">
        <f t="shared" si="415"/>
        <v>-18.8299419645297</v>
      </c>
      <c r="BH406" s="31">
        <f t="shared" si="416"/>
        <v>-63.0234070446725</v>
      </c>
      <c r="BI406" s="30" t="str">
        <f t="shared" si="369"/>
        <v>0,322068944891978+0,286682238350277i</v>
      </c>
      <c r="BJ406" s="68">
        <f t="shared" si="417"/>
        <v>-7.30685309643697</v>
      </c>
      <c r="BK406" s="31">
        <f t="shared" si="370"/>
        <v>41.6731402023825</v>
      </c>
      <c r="BL406" s="32">
        <f t="shared" si="418"/>
        <v>-18.8299419645297</v>
      </c>
      <c r="BM406" s="31">
        <f t="shared" si="419"/>
        <v>-63.0234070446725</v>
      </c>
      <c r="BO406">
        <f t="shared" si="420"/>
        <v>0</v>
      </c>
      <c r="BP406">
        <f t="shared" si="421"/>
        <v>0</v>
      </c>
    </row>
    <row r="407" spans="14:68">
      <c r="N407" s="7">
        <v>89</v>
      </c>
      <c r="O407" s="18">
        <f t="shared" si="371"/>
        <v>77624.7116628691</v>
      </c>
      <c r="P407" s="86" t="str">
        <f t="shared" si="372"/>
        <v>60</v>
      </c>
      <c r="Q407" s="4" t="str">
        <f t="shared" si="373"/>
        <v>1+637,301118451076i</v>
      </c>
      <c r="R407" s="4">
        <f t="shared" si="384"/>
        <v>637.301903009078</v>
      </c>
      <c r="S407" s="4">
        <f t="shared" si="385"/>
        <v>1.56922721111262</v>
      </c>
      <c r="T407" s="4" t="str">
        <f t="shared" si="374"/>
        <v>1+7,64761342141292i</v>
      </c>
      <c r="U407" s="4">
        <f t="shared" si="386"/>
        <v>7.71271619102992</v>
      </c>
      <c r="V407" s="4">
        <f t="shared" si="387"/>
        <v>1.44077427428592</v>
      </c>
      <c r="W407" t="str">
        <f t="shared" si="375"/>
        <v>1-10,6691035454979i</v>
      </c>
      <c r="X407" s="4">
        <f t="shared" si="388"/>
        <v>10.7158653623754</v>
      </c>
      <c r="Y407" s="4">
        <f t="shared" si="389"/>
        <v>-1.47734077210654</v>
      </c>
      <c r="Z407" t="str">
        <f t="shared" si="376"/>
        <v>0,950811462361277+2,84675322590079i</v>
      </c>
      <c r="AA407" s="4">
        <f t="shared" si="390"/>
        <v>3.00134076141549</v>
      </c>
      <c r="AB407" s="4">
        <f t="shared" si="391"/>
        <v>1.24844719291016</v>
      </c>
      <c r="AC407" s="67" t="str">
        <f t="shared" si="392"/>
        <v>-2,48623933177991-0,734760751139868i</v>
      </c>
      <c r="AD407" s="68">
        <f t="shared" si="393"/>
        <v>8.27450655335977</v>
      </c>
      <c r="AE407" s="31">
        <f t="shared" si="394"/>
        <v>-163.535957389241</v>
      </c>
      <c r="AF407" s="32" t="str">
        <f t="shared" si="395"/>
        <v>326,048966736478</v>
      </c>
      <c r="AG407" s="32" t="str">
        <f t="shared" si="377"/>
        <v>1+409,693576147121i</v>
      </c>
      <c r="AH407" s="32">
        <f t="shared" si="396"/>
        <v>409.694796569613</v>
      </c>
      <c r="AI407" s="32">
        <f t="shared" si="397"/>
        <v>1.5683554830221</v>
      </c>
      <c r="AJ407" s="32" t="str">
        <f t="shared" si="378"/>
        <v>1+7,64761342141292i</v>
      </c>
      <c r="AK407" s="32">
        <f t="shared" si="398"/>
        <v>7.71271619102992</v>
      </c>
      <c r="AL407" s="32">
        <f t="shared" si="399"/>
        <v>1.44077427428592</v>
      </c>
      <c r="AM407" s="32" t="str">
        <f t="shared" si="379"/>
        <v>1-1,26212244099523i</v>
      </c>
      <c r="AN407" s="32">
        <f t="shared" si="400"/>
        <v>1.61026490245045</v>
      </c>
      <c r="AO407" s="32">
        <f t="shared" si="401"/>
        <v>-0.900758248526932</v>
      </c>
      <c r="AP407" s="30" t="str">
        <f t="shared" si="402"/>
        <v>5,10246640220852-8,46497122105128i</v>
      </c>
      <c r="AQ407" s="32">
        <f t="shared" si="403"/>
        <v>19.898541158119</v>
      </c>
      <c r="AR407" s="31">
        <f t="shared" si="404"/>
        <v>-58.9195108079503</v>
      </c>
      <c r="AS407" t="str">
        <f t="shared" si="380"/>
        <v>-0,000100699300699301</v>
      </c>
      <c r="AT407" t="str">
        <f t="shared" si="381"/>
        <v>0,109593031619355i</v>
      </c>
      <c r="AU407">
        <f t="shared" si="405"/>
        <v>0.109593031619355</v>
      </c>
      <c r="AV407">
        <f t="shared" si="406"/>
        <v>1.5707963267949</v>
      </c>
      <c r="AW407" t="str">
        <f t="shared" si="382"/>
        <v>1+5,61096220537599i</v>
      </c>
      <c r="AX407">
        <f t="shared" si="407"/>
        <v>5.69937688437585</v>
      </c>
      <c r="AY407">
        <f t="shared" si="408"/>
        <v>1.39442558718181</v>
      </c>
      <c r="AZ407" t="str">
        <f t="shared" si="383"/>
        <v>1+268,251746286805i</v>
      </c>
      <c r="BA407">
        <f t="shared" si="409"/>
        <v>268.253610201094</v>
      </c>
      <c r="BB407">
        <f t="shared" si="410"/>
        <v>1.56706850253424</v>
      </c>
      <c r="BC407" s="30" t="str">
        <f t="shared" si="411"/>
        <v>-0,00742935185069235+0,0426046601050723i</v>
      </c>
      <c r="BD407" s="32">
        <f t="shared" si="412"/>
        <v>-27.2807657461208</v>
      </c>
      <c r="BE407" s="31">
        <f t="shared" si="413"/>
        <v>99.8917104125288</v>
      </c>
      <c r="BF407" s="30" t="str">
        <f t="shared" si="414"/>
        <v>0,0497753788416849-0,100466585524048i</v>
      </c>
      <c r="BG407" s="68">
        <f t="shared" si="415"/>
        <v>-19.006259192761</v>
      </c>
      <c r="BH407" s="31">
        <f t="shared" si="416"/>
        <v>-63.644246976712</v>
      </c>
      <c r="BI407" s="30" t="str">
        <f t="shared" si="369"/>
        <v>0,322739203463765+0,28027809637082i</v>
      </c>
      <c r="BJ407" s="68">
        <f t="shared" si="417"/>
        <v>-7.38222458800181</v>
      </c>
      <c r="BK407" s="31">
        <f t="shared" si="370"/>
        <v>40.9721996045785</v>
      </c>
      <c r="BL407" s="32">
        <f t="shared" si="418"/>
        <v>-19.006259192761</v>
      </c>
      <c r="BM407" s="31">
        <f t="shared" si="419"/>
        <v>-63.644246976712</v>
      </c>
      <c r="BO407">
        <f t="shared" si="420"/>
        <v>0</v>
      </c>
      <c r="BP407">
        <f t="shared" si="421"/>
        <v>0</v>
      </c>
    </row>
    <row r="408" spans="14:68">
      <c r="N408" s="7">
        <v>90</v>
      </c>
      <c r="O408" s="18">
        <f t="shared" si="371"/>
        <v>79432.8234724282</v>
      </c>
      <c r="P408" s="86" t="str">
        <f t="shared" si="372"/>
        <v>60</v>
      </c>
      <c r="Q408" s="4" t="str">
        <f t="shared" si="373"/>
        <v>1+652,145768483674i</v>
      </c>
      <c r="R408" s="4">
        <f t="shared" si="384"/>
        <v>652.146535182977</v>
      </c>
      <c r="S408" s="4">
        <f t="shared" si="385"/>
        <v>1.56926292848955</v>
      </c>
      <c r="T408" s="4" t="str">
        <f t="shared" si="374"/>
        <v>1+7,8257492218041i</v>
      </c>
      <c r="U408" s="4">
        <f t="shared" si="386"/>
        <v>7.88938216101663</v>
      </c>
      <c r="V408" s="4">
        <f t="shared" si="387"/>
        <v>1.44370180516998</v>
      </c>
      <c r="W408" t="str">
        <f t="shared" si="375"/>
        <v>1-10,9176188920258i</v>
      </c>
      <c r="X408" s="4">
        <f t="shared" si="388"/>
        <v>10.9633207684314</v>
      </c>
      <c r="Y408" s="4">
        <f t="shared" si="389"/>
        <v>-1.47945613151933</v>
      </c>
      <c r="Z408" t="str">
        <f t="shared" si="376"/>
        <v>0,948493278001617+2,91306262681692i</v>
      </c>
      <c r="AA408" s="4">
        <f t="shared" si="390"/>
        <v>3.06358831538635</v>
      </c>
      <c r="AB408" s="4">
        <f t="shared" si="391"/>
        <v>1.25602181706706</v>
      </c>
      <c r="AC408" s="67" t="str">
        <f t="shared" si="392"/>
        <v>-2,49597370027941-0,719224249504138i</v>
      </c>
      <c r="AD408" s="68">
        <f t="shared" si="393"/>
        <v>8.29121538967575</v>
      </c>
      <c r="AE408" s="31">
        <f t="shared" si="394"/>
        <v>-163.925463842238</v>
      </c>
      <c r="AF408" s="32" t="str">
        <f t="shared" si="395"/>
        <v>326,048966736478</v>
      </c>
      <c r="AG408" s="32" t="str">
        <f t="shared" si="377"/>
        <v>1+419,236565453791i</v>
      </c>
      <c r="AH408" s="32">
        <f t="shared" si="396"/>
        <v>419.237758096156</v>
      </c>
      <c r="AI408" s="32">
        <f t="shared" si="397"/>
        <v>1.56841104319638</v>
      </c>
      <c r="AJ408" s="32" t="str">
        <f t="shared" si="378"/>
        <v>1+7,8257492218041i</v>
      </c>
      <c r="AK408" s="32">
        <f t="shared" si="398"/>
        <v>7.88938216101663</v>
      </c>
      <c r="AL408" s="32">
        <f t="shared" si="399"/>
        <v>1.44370180516998</v>
      </c>
      <c r="AM408" s="32" t="str">
        <f t="shared" si="379"/>
        <v>1-1,29152104927071i</v>
      </c>
      <c r="AN408" s="32">
        <f t="shared" si="400"/>
        <v>1.63340950796465</v>
      </c>
      <c r="AO408" s="32">
        <f t="shared" si="401"/>
        <v>-0.911935715835137</v>
      </c>
      <c r="AP408" s="30" t="str">
        <f t="shared" si="402"/>
        <v>5,10238034328195-8,62606668155989i</v>
      </c>
      <c r="AQ408" s="32">
        <f t="shared" si="403"/>
        <v>20.0192102273357</v>
      </c>
      <c r="AR408" s="31">
        <f t="shared" si="404"/>
        <v>-59.3953807098001</v>
      </c>
      <c r="AS408" t="str">
        <f t="shared" si="380"/>
        <v>-0,000100699300699301</v>
      </c>
      <c r="AT408" t="str">
        <f t="shared" si="381"/>
        <v>0,112145781258889i</v>
      </c>
      <c r="AU408">
        <f t="shared" si="405"/>
        <v>0.112145781258889</v>
      </c>
      <c r="AV408">
        <f t="shared" si="406"/>
        <v>1.5707963267949</v>
      </c>
      <c r="AW408" t="str">
        <f t="shared" si="382"/>
        <v>1+5,74165830471343i</v>
      </c>
      <c r="AX408">
        <f t="shared" si="407"/>
        <v>5.82809060397011</v>
      </c>
      <c r="AY408">
        <f t="shared" si="408"/>
        <v>1.39836027313941</v>
      </c>
      <c r="AZ408" t="str">
        <f t="shared" si="383"/>
        <v>1+274,500132142363i</v>
      </c>
      <c r="BA408">
        <f t="shared" si="409"/>
        <v>274.501953629068</v>
      </c>
      <c r="BB408">
        <f t="shared" si="410"/>
        <v>1.5671533574147</v>
      </c>
      <c r="BC408" s="30" t="str">
        <f t="shared" si="411"/>
        <v>-0,00710482018098729+0,0416913819297898i</v>
      </c>
      <c r="BD408" s="32">
        <f t="shared" si="412"/>
        <v>-27.4747468241194</v>
      </c>
      <c r="BE408" s="31">
        <f t="shared" si="413"/>
        <v>99.6711313399704</v>
      </c>
      <c r="BF408" s="30" t="str">
        <f t="shared" si="414"/>
        <v>0,0477188971962021-0,0989506338625271i</v>
      </c>
      <c r="BG408" s="68">
        <f t="shared" si="415"/>
        <v>-19.1835314344437</v>
      </c>
      <c r="BH408" s="31">
        <f t="shared" si="416"/>
        <v>-64.2543325022673</v>
      </c>
      <c r="BI408" s="30" t="str">
        <f t="shared" si="369"/>
        <v>0,323381145738725+0,274011940284509i</v>
      </c>
      <c r="BJ408" s="68">
        <f t="shared" si="417"/>
        <v>-7.45553659678372</v>
      </c>
      <c r="BK408" s="31">
        <f t="shared" si="370"/>
        <v>40.2757506301704</v>
      </c>
      <c r="BL408" s="32">
        <f t="shared" si="418"/>
        <v>-19.1835314344437</v>
      </c>
      <c r="BM408" s="31">
        <f t="shared" si="419"/>
        <v>-64.2543325022673</v>
      </c>
      <c r="BO408">
        <f t="shared" si="420"/>
        <v>0</v>
      </c>
      <c r="BP408">
        <f t="shared" si="421"/>
        <v>0</v>
      </c>
    </row>
    <row r="409" spans="14:68">
      <c r="N409" s="7">
        <v>91</v>
      </c>
      <c r="O409" s="18">
        <f t="shared" si="371"/>
        <v>81283.05161641</v>
      </c>
      <c r="P409" s="86" t="str">
        <f t="shared" si="372"/>
        <v>60</v>
      </c>
      <c r="Q409" s="4" t="str">
        <f t="shared" si="373"/>
        <v>1+667,33619483489i</v>
      </c>
      <c r="R409" s="4">
        <f t="shared" si="384"/>
        <v>667.336944082006</v>
      </c>
      <c r="S409" s="4">
        <f t="shared" si="385"/>
        <v>1.5692978328435</v>
      </c>
      <c r="T409" s="4" t="str">
        <f t="shared" si="374"/>
        <v>1+8,00803433801869i</v>
      </c>
      <c r="U409" s="4">
        <f t="shared" si="386"/>
        <v>8.07023010569627</v>
      </c>
      <c r="V409" s="4">
        <f t="shared" si="387"/>
        <v>1.44656481534257</v>
      </c>
      <c r="W409" t="str">
        <f t="shared" si="375"/>
        <v>1-11,171922904602i</v>
      </c>
      <c r="X409" s="4">
        <f t="shared" si="388"/>
        <v>11.2165886697503</v>
      </c>
      <c r="Y409" s="4">
        <f t="shared" si="389"/>
        <v>-1.48152413186707</v>
      </c>
      <c r="Z409" t="str">
        <f t="shared" si="376"/>
        <v>0,946065840978972+2,98091657209672i</v>
      </c>
      <c r="AA409" s="4">
        <f t="shared" si="390"/>
        <v>3.12744371416467</v>
      </c>
      <c r="AB409" s="4">
        <f t="shared" si="391"/>
        <v>1.26347714089029</v>
      </c>
      <c r="AC409" s="67" t="str">
        <f t="shared" si="392"/>
        <v>-2,50535840146371-0,703796493007213i</v>
      </c>
      <c r="AD409" s="68">
        <f t="shared" si="393"/>
        <v>8.30726583289542</v>
      </c>
      <c r="AE409" s="31">
        <f t="shared" si="394"/>
        <v>-164.309071596745</v>
      </c>
      <c r="AF409" s="32" t="str">
        <f t="shared" si="395"/>
        <v>326,048966736478</v>
      </c>
      <c r="AG409" s="32" t="str">
        <f t="shared" si="377"/>
        <v>1+429,001839536716i</v>
      </c>
      <c r="AH409" s="32">
        <f t="shared" si="396"/>
        <v>429.003005031301</v>
      </c>
      <c r="AI409" s="32">
        <f t="shared" si="397"/>
        <v>1.56846533868093</v>
      </c>
      <c r="AJ409" s="32" t="str">
        <f t="shared" si="378"/>
        <v>1+8,00803433801869i</v>
      </c>
      <c r="AK409" s="32">
        <f t="shared" si="398"/>
        <v>8.07023010569627</v>
      </c>
      <c r="AL409" s="32">
        <f t="shared" si="399"/>
        <v>1.44656481534257</v>
      </c>
      <c r="AM409" s="32" t="str">
        <f t="shared" si="379"/>
        <v>1-1,3216044391018i</v>
      </c>
      <c r="AN409" s="32">
        <f t="shared" si="400"/>
        <v>1.6572984925636</v>
      </c>
      <c r="AO409" s="32">
        <f t="shared" si="401"/>
        <v>-0.923048935440678</v>
      </c>
      <c r="AP409" s="30" t="str">
        <f t="shared" si="402"/>
        <v>5,10229815760204-8,79173577831981i</v>
      </c>
      <c r="AQ409" s="32">
        <f t="shared" si="403"/>
        <v>20.1421829437115</v>
      </c>
      <c r="AR409" s="31">
        <f t="shared" si="404"/>
        <v>-59.8711937925181</v>
      </c>
      <c r="AS409" t="str">
        <f t="shared" si="380"/>
        <v>-0,000100699300699301</v>
      </c>
      <c r="AT409" t="str">
        <f t="shared" si="381"/>
        <v>0,114757992076071i</v>
      </c>
      <c r="AU409">
        <f t="shared" si="405"/>
        <v>0.114757992076071</v>
      </c>
      <c r="AV409">
        <f t="shared" si="406"/>
        <v>1.5707963267949</v>
      </c>
      <c r="AW409" t="str">
        <f t="shared" si="382"/>
        <v>1+5,87539870728384i</v>
      </c>
      <c r="AX409">
        <f t="shared" si="407"/>
        <v>5.95989177498658</v>
      </c>
      <c r="AY409">
        <f t="shared" si="408"/>
        <v>1.40221061269506</v>
      </c>
      <c r="AZ409" t="str">
        <f t="shared" si="383"/>
        <v>1+280,894061601421i</v>
      </c>
      <c r="BA409">
        <f t="shared" si="409"/>
        <v>280.895841626292</v>
      </c>
      <c r="BB409">
        <f t="shared" si="410"/>
        <v>1.56723628081296</v>
      </c>
      <c r="BC409" s="30" t="str">
        <f t="shared" si="411"/>
        <v>-0,00679405304134503+0,0407952631596991i</v>
      </c>
      <c r="BD409" s="32">
        <f t="shared" si="412"/>
        <v>-27.6689909937409</v>
      </c>
      <c r="BE409" s="31">
        <f t="shared" si="413"/>
        <v>99.4552742944823</v>
      </c>
      <c r="BF409" s="30" t="str">
        <f t="shared" si="414"/>
        <v>0,0457331010102264-0,0974251245932715i</v>
      </c>
      <c r="BG409" s="68">
        <f t="shared" si="415"/>
        <v>-19.3617251608455</v>
      </c>
      <c r="BH409" s="31">
        <f t="shared" si="416"/>
        <v>-64.8537973022623</v>
      </c>
      <c r="BI409" s="30" t="str">
        <f t="shared" si="369"/>
        <v>0,323995890391593+0,267881115262019i</v>
      </c>
      <c r="BJ409" s="68">
        <f t="shared" si="417"/>
        <v>-7.5268080500295</v>
      </c>
      <c r="BK409" s="31">
        <f t="shared" si="370"/>
        <v>39.5840805019643</v>
      </c>
      <c r="BL409" s="32">
        <f t="shared" si="418"/>
        <v>-19.3617251608455</v>
      </c>
      <c r="BM409" s="31">
        <f t="shared" si="419"/>
        <v>-64.8537973022623</v>
      </c>
      <c r="BO409">
        <f t="shared" si="420"/>
        <v>0</v>
      </c>
      <c r="BP409">
        <f t="shared" si="421"/>
        <v>0</v>
      </c>
    </row>
    <row r="410" spans="14:68">
      <c r="N410" s="7">
        <v>92</v>
      </c>
      <c r="O410" s="18">
        <f t="shared" si="371"/>
        <v>83176.3771102672</v>
      </c>
      <c r="P410" s="86" t="str">
        <f t="shared" si="372"/>
        <v>60</v>
      </c>
      <c r="Q410" s="4" t="str">
        <f t="shared" si="373"/>
        <v>1+682,880451669847i</v>
      </c>
      <c r="R410" s="4">
        <f t="shared" si="384"/>
        <v>682.881183862035</v>
      </c>
      <c r="S410" s="4">
        <f t="shared" si="385"/>
        <v>1.56933194268089</v>
      </c>
      <c r="T410" s="4" t="str">
        <f t="shared" si="374"/>
        <v>1+8,19456542003818i</v>
      </c>
      <c r="U410" s="4">
        <f t="shared" si="386"/>
        <v>8.25535598404366</v>
      </c>
      <c r="V410" s="4">
        <f t="shared" si="387"/>
        <v>1.44936463496862</v>
      </c>
      <c r="W410" t="str">
        <f t="shared" si="375"/>
        <v>1-11,43215041858i</v>
      </c>
      <c r="X410" s="4">
        <f t="shared" si="388"/>
        <v>11.4758033789813</v>
      </c>
      <c r="Y410" s="4">
        <f t="shared" si="389"/>
        <v>-1.48354579883928</v>
      </c>
      <c r="Z410" t="str">
        <f t="shared" si="376"/>
        <v>0,943524002373964+3,05035103880014i</v>
      </c>
      <c r="AA410" s="4">
        <f t="shared" si="390"/>
        <v>3.19294206069651</v>
      </c>
      <c r="AB410" s="4">
        <f t="shared" si="391"/>
        <v>1.27081432321985</v>
      </c>
      <c r="AC410" s="67" t="str">
        <f t="shared" si="392"/>
        <v>-2,51440212684934-0,688483806166683i</v>
      </c>
      <c r="AD410" s="68">
        <f t="shared" si="393"/>
        <v>8.32267940600084</v>
      </c>
      <c r="AE410" s="31">
        <f t="shared" si="394"/>
        <v>-164.686830664586</v>
      </c>
      <c r="AF410" s="32" t="str">
        <f t="shared" si="395"/>
        <v>326,048966736478</v>
      </c>
      <c r="AG410" s="32" t="str">
        <f t="shared" si="377"/>
        <v>1+438,994576073474i</v>
      </c>
      <c r="AH410" s="32">
        <f t="shared" si="396"/>
        <v>438.995715038233</v>
      </c>
      <c r="AI410" s="32">
        <f t="shared" si="397"/>
        <v>1.56851839826263</v>
      </c>
      <c r="AJ410" s="32" t="str">
        <f t="shared" si="378"/>
        <v>1+8,19456542003818i</v>
      </c>
      <c r="AK410" s="32">
        <f t="shared" si="398"/>
        <v>8.25535598404366</v>
      </c>
      <c r="AL410" s="32">
        <f t="shared" si="399"/>
        <v>1.44936463496862</v>
      </c>
      <c r="AM410" s="32" t="str">
        <f t="shared" si="379"/>
        <v>1-1,35238856110001i</v>
      </c>
      <c r="AN410" s="32">
        <f t="shared" si="400"/>
        <v>1.68194970798599</v>
      </c>
      <c r="AO410" s="32">
        <f t="shared" si="401"/>
        <v>-0.934092820008043</v>
      </c>
      <c r="AP410" s="30" t="str">
        <f t="shared" si="402"/>
        <v>5,10221967084774-8,96206635251282i</v>
      </c>
      <c r="AQ410" s="32">
        <f t="shared" si="403"/>
        <v>20.2674271667068</v>
      </c>
      <c r="AR410" s="31">
        <f t="shared" si="404"/>
        <v>-60.3465840097817</v>
      </c>
      <c r="AS410" t="str">
        <f t="shared" si="380"/>
        <v>-0,000100699300699301</v>
      </c>
      <c r="AT410" t="str">
        <f t="shared" si="381"/>
        <v>0,117431049099654i</v>
      </c>
      <c r="AU410">
        <f t="shared" si="405"/>
        <v>0.117431049099654</v>
      </c>
      <c r="AV410">
        <f t="shared" si="406"/>
        <v>1.5707963267949</v>
      </c>
      <c r="AW410" t="str">
        <f t="shared" si="382"/>
        <v>1+6,01225432401895i</v>
      </c>
      <c r="AX410">
        <f t="shared" si="407"/>
        <v>6.09485045400497</v>
      </c>
      <c r="AY410">
        <f t="shared" si="408"/>
        <v>1.40597819046749</v>
      </c>
      <c r="AZ410" t="str">
        <f t="shared" si="383"/>
        <v>1+287,436924810012i</v>
      </c>
      <c r="BA410">
        <f t="shared" si="409"/>
        <v>287.438664316818</v>
      </c>
      <c r="BB410">
        <f t="shared" si="410"/>
        <v>1.56731731669154</v>
      </c>
      <c r="BC410" s="30" t="str">
        <f t="shared" si="411"/>
        <v>-0,00649650193330592+0,039916140370359i</v>
      </c>
      <c r="BD410" s="32">
        <f t="shared" si="412"/>
        <v>-27.8634870817097</v>
      </c>
      <c r="BE410" s="31">
        <f t="shared" si="413"/>
        <v>99.2440510029663</v>
      </c>
      <c r="BF410" s="30" t="str">
        <f t="shared" si="414"/>
        <v>0,0438164345278536-0,0958924918650358i</v>
      </c>
      <c r="BG410" s="68">
        <f t="shared" si="415"/>
        <v>-19.5408076757088</v>
      </c>
      <c r="BH410" s="31">
        <f t="shared" si="416"/>
        <v>-65.4427796616197</v>
      </c>
      <c r="BI410" s="30" t="str">
        <f t="shared" si="369"/>
        <v>0,324584518579559+0,261882997967481i</v>
      </c>
      <c r="BJ410" s="68">
        <f t="shared" si="417"/>
        <v>-7.59605991500285</v>
      </c>
      <c r="BK410" s="31">
        <f t="shared" si="370"/>
        <v>38.8974669931846</v>
      </c>
      <c r="BL410" s="32">
        <f t="shared" si="418"/>
        <v>-19.5408076757088</v>
      </c>
      <c r="BM410" s="31">
        <f t="shared" si="419"/>
        <v>-65.4427796616197</v>
      </c>
      <c r="BO410">
        <f t="shared" si="420"/>
        <v>0</v>
      </c>
      <c r="BP410">
        <f t="shared" si="421"/>
        <v>0</v>
      </c>
    </row>
    <row r="411" spans="14:68">
      <c r="N411" s="7">
        <v>93</v>
      </c>
      <c r="O411" s="18">
        <f t="shared" si="371"/>
        <v>85113.8038202377</v>
      </c>
      <c r="P411" s="86" t="str">
        <f t="shared" si="372"/>
        <v>60</v>
      </c>
      <c r="Q411" s="4" t="str">
        <f t="shared" si="373"/>
        <v>1+698,786780759271i</v>
      </c>
      <c r="R411" s="4">
        <f t="shared" si="384"/>
        <v>698.787496284747</v>
      </c>
      <c r="S411" s="4">
        <f t="shared" si="385"/>
        <v>1.56936527608687</v>
      </c>
      <c r="T411" s="4" t="str">
        <f t="shared" si="374"/>
        <v>1+8,38544136911126i</v>
      </c>
      <c r="U411" s="4">
        <f t="shared" si="386"/>
        <v>8.444858018629</v>
      </c>
      <c r="V411" s="4">
        <f t="shared" si="387"/>
        <v>1.45210257287351</v>
      </c>
      <c r="W411" t="str">
        <f t="shared" si="375"/>
        <v>1-11,6984394100324i</v>
      </c>
      <c r="X411" s="4">
        <f t="shared" si="388"/>
        <v>11.7411023600938</v>
      </c>
      <c r="Y411" s="4">
        <f t="shared" si="389"/>
        <v>-1.48552213821126</v>
      </c>
      <c r="Z411" t="str">
        <f t="shared" si="376"/>
        <v>0,940862370606123+3,1214028420005i</v>
      </c>
      <c r="AA411" s="4">
        <f t="shared" si="390"/>
        <v>3.26011927733808</v>
      </c>
      <c r="AB411" s="4">
        <f t="shared" si="391"/>
        <v>1.27803460954033</v>
      </c>
      <c r="AC411" s="67" t="str">
        <f t="shared" si="392"/>
        <v>-2,52311363678267-0,673291946557721i</v>
      </c>
      <c r="AD411" s="68">
        <f t="shared" si="393"/>
        <v>8.3374772358567</v>
      </c>
      <c r="AE411" s="31">
        <f t="shared" si="394"/>
        <v>-165.058796079487</v>
      </c>
      <c r="AF411" s="32" t="str">
        <f t="shared" si="395"/>
        <v>326,048966736478</v>
      </c>
      <c r="AG411" s="32" t="str">
        <f t="shared" si="377"/>
        <v>1+449,220073345246i</v>
      </c>
      <c r="AH411" s="32">
        <f t="shared" si="396"/>
        <v>449.221186384067</v>
      </c>
      <c r="AI411" s="32">
        <f t="shared" si="397"/>
        <v>1.5685702500732</v>
      </c>
      <c r="AJ411" s="32" t="str">
        <f t="shared" si="378"/>
        <v>1+8,38544136911126i</v>
      </c>
      <c r="AK411" s="32">
        <f t="shared" si="398"/>
        <v>8.444858018629</v>
      </c>
      <c r="AL411" s="32">
        <f t="shared" si="399"/>
        <v>1.45210257287351</v>
      </c>
      <c r="AM411" s="32" t="str">
        <f t="shared" si="379"/>
        <v>1-1,38388973741429i</v>
      </c>
      <c r="AN411" s="32">
        <f t="shared" si="400"/>
        <v>1.70738127122228</v>
      </c>
      <c r="AO411" s="32">
        <f t="shared" si="401"/>
        <v>-0.945062449583393</v>
      </c>
      <c r="AP411" s="30" t="str">
        <f t="shared" si="402"/>
        <v>5,10214471654347-9,13714871681518i</v>
      </c>
      <c r="AQ411" s="32">
        <f t="shared" si="403"/>
        <v>20.394909265119</v>
      </c>
      <c r="AR411" s="31">
        <f t="shared" si="404"/>
        <v>-60.8211960906578</v>
      </c>
      <c r="AS411" t="str">
        <f t="shared" si="380"/>
        <v>-0,000100699300699301</v>
      </c>
      <c r="AT411" t="str">
        <f t="shared" si="381"/>
        <v>0,120166369619853i</v>
      </c>
      <c r="AU411">
        <f t="shared" si="405"/>
        <v>0.120166369619853</v>
      </c>
      <c r="AV411">
        <f t="shared" si="406"/>
        <v>1.5707963267949</v>
      </c>
      <c r="AW411" t="str">
        <f t="shared" si="382"/>
        <v>1+6,15229771757826i</v>
      </c>
      <c r="AX411">
        <f t="shared" si="407"/>
        <v>6.23303836068082</v>
      </c>
      <c r="AY411">
        <f t="shared" si="408"/>
        <v>1.40966457602555</v>
      </c>
      <c r="AZ411" t="str">
        <f t="shared" si="383"/>
        <v>1+294,132190880815i</v>
      </c>
      <c r="BA411">
        <f t="shared" si="409"/>
        <v>294.133890791844</v>
      </c>
      <c r="BB411">
        <f t="shared" si="410"/>
        <v>1.56739650801246</v>
      </c>
      <c r="BC411" s="30" t="str">
        <f t="shared" si="411"/>
        <v>-0,00621163717823916+0,0390538402601042i</v>
      </c>
      <c r="BD411" s="32">
        <f t="shared" si="412"/>
        <v>-28.0582243612472</v>
      </c>
      <c r="BE411" s="31">
        <f t="shared" si="413"/>
        <v>99.0373739972947</v>
      </c>
      <c r="BF411" s="30" t="str">
        <f t="shared" si="414"/>
        <v>0,0419673026004413-0,094355031641954i</v>
      </c>
      <c r="BG411" s="68">
        <f t="shared" si="415"/>
        <v>-19.7207471253905</v>
      </c>
      <c r="BH411" s="31">
        <f t="shared" si="416"/>
        <v>-66.0214220821921</v>
      </c>
      <c r="BI411" s="30" t="str">
        <f t="shared" si="369"/>
        <v>0,325148074609278+0,256014997416293i</v>
      </c>
      <c r="BJ411" s="68">
        <f t="shared" si="417"/>
        <v>-7.66331509612822</v>
      </c>
      <c r="BK411" s="31">
        <f t="shared" si="370"/>
        <v>38.216177906637</v>
      </c>
      <c r="BL411" s="32">
        <f t="shared" si="418"/>
        <v>-19.7207471253905</v>
      </c>
      <c r="BM411" s="31">
        <f t="shared" si="419"/>
        <v>-66.0214220821921</v>
      </c>
      <c r="BO411">
        <f t="shared" si="420"/>
        <v>0</v>
      </c>
      <c r="BP411">
        <f t="shared" si="421"/>
        <v>0</v>
      </c>
    </row>
    <row r="412" spans="14:68">
      <c r="N412" s="7">
        <v>94</v>
      </c>
      <c r="O412" s="18">
        <f t="shared" si="371"/>
        <v>87096.3589956081</v>
      </c>
      <c r="P412" s="86" t="str">
        <f t="shared" si="372"/>
        <v>60</v>
      </c>
      <c r="Q412" s="4" t="str">
        <f t="shared" si="373"/>
        <v>1+715,063615849389i</v>
      </c>
      <c r="R412" s="4">
        <f t="shared" si="384"/>
        <v>715.064315087533</v>
      </c>
      <c r="S412" s="4">
        <f t="shared" si="385"/>
        <v>1.56939785073497</v>
      </c>
      <c r="T412" s="4" t="str">
        <f t="shared" si="374"/>
        <v>1+8,58076339019268i</v>
      </c>
      <c r="U412" s="4">
        <f t="shared" si="386"/>
        <v>8.63883674799281</v>
      </c>
      <c r="V412" s="4">
        <f t="shared" si="387"/>
        <v>1.45477991646466</v>
      </c>
      <c r="W412" t="str">
        <f t="shared" si="375"/>
        <v>1-11,9709310689072i</v>
      </c>
      <c r="X412" s="4">
        <f t="shared" si="388"/>
        <v>12.0126263013767</v>
      </c>
      <c r="Y412" s="4">
        <f t="shared" si="389"/>
        <v>-1.48745413607471</v>
      </c>
      <c r="Z412" t="str">
        <f t="shared" si="376"/>
        <v>0,938075299997617+3,19410965430434i</v>
      </c>
      <c r="AA412" s="4">
        <f t="shared" si="390"/>
        <v>3.32901212857295</v>
      </c>
      <c r="AB412" s="4">
        <f t="shared" si="391"/>
        <v>1.28513932609205</v>
      </c>
      <c r="AC412" s="67" t="str">
        <f t="shared" si="392"/>
        <v>-2,5315017304916-0,658226120997526i</v>
      </c>
      <c r="AD412" s="68">
        <f t="shared" si="393"/>
        <v>8.35168003075863</v>
      </c>
      <c r="AE412" s="31">
        <f t="shared" si="394"/>
        <v>-165.425027577917</v>
      </c>
      <c r="AF412" s="32" t="str">
        <f t="shared" si="395"/>
        <v>326,048966736478</v>
      </c>
      <c r="AG412" s="32" t="str">
        <f t="shared" si="377"/>
        <v>1+459,683753046036i</v>
      </c>
      <c r="AH412" s="32">
        <f t="shared" si="396"/>
        <v>459.68484074906</v>
      </c>
      <c r="AI412" s="32">
        <f t="shared" si="397"/>
        <v>1.56862092160402</v>
      </c>
      <c r="AJ412" s="32" t="str">
        <f t="shared" si="378"/>
        <v>1+8,58076339019268i</v>
      </c>
      <c r="AK412" s="32">
        <f t="shared" si="398"/>
        <v>8.63883674799281</v>
      </c>
      <c r="AL412" s="32">
        <f t="shared" si="399"/>
        <v>1.45477991646466</v>
      </c>
      <c r="AM412" s="32" t="str">
        <f t="shared" si="379"/>
        <v>1-1,41612467038529i</v>
      </c>
      <c r="AN412" s="32">
        <f t="shared" si="400"/>
        <v>1.73361157185624</v>
      </c>
      <c r="AO412" s="32">
        <f t="shared" si="401"/>
        <v>-0.955953080650312</v>
      </c>
      <c r="AP412" s="30" t="str">
        <f t="shared" si="402"/>
        <v>5,10207313570591-9,31707570328837i</v>
      </c>
      <c r="AQ412" s="32">
        <f t="shared" si="403"/>
        <v>20.5245942092277</v>
      </c>
      <c r="AR412" s="31">
        <f t="shared" si="404"/>
        <v>-61.2946860638046</v>
      </c>
      <c r="AS412" t="str">
        <f t="shared" si="380"/>
        <v>-0,000100699300699301</v>
      </c>
      <c r="AT412" t="str">
        <f t="shared" si="381"/>
        <v>0,122965403939815i</v>
      </c>
      <c r="AU412">
        <f t="shared" si="405"/>
        <v>0.122965403939815</v>
      </c>
      <c r="AV412">
        <f t="shared" si="406"/>
        <v>1.5707963267949</v>
      </c>
      <c r="AW412" t="str">
        <f t="shared" si="382"/>
        <v>1+6,2956031408227i</v>
      </c>
      <c r="AX412">
        <f t="shared" si="407"/>
        <v>6.37452891645623</v>
      </c>
      <c r="AY412">
        <f t="shared" si="408"/>
        <v>1.4132713229694</v>
      </c>
      <c r="AZ412" t="str">
        <f t="shared" si="383"/>
        <v>1+300,983409732523i</v>
      </c>
      <c r="BA412">
        <f t="shared" si="409"/>
        <v>300.985070949069</v>
      </c>
      <c r="BB412">
        <f t="shared" si="410"/>
        <v>1.56747389676006</v>
      </c>
      <c r="BC412" s="30" t="str">
        <f t="shared" si="411"/>
        <v>-0,00593894753958544+0,0382081806227264i</v>
      </c>
      <c r="BD412" s="32">
        <f t="shared" si="412"/>
        <v>-28.2531925366421</v>
      </c>
      <c r="BE412" s="31">
        <f t="shared" si="413"/>
        <v>98.8351566682596</v>
      </c>
      <c r="BF412" s="30" t="str">
        <f t="shared" si="414"/>
        <v>0,0401840784954294-0,0928149049635784i</v>
      </c>
      <c r="BG412" s="68">
        <f t="shared" si="415"/>
        <v>-19.9015125058835</v>
      </c>
      <c r="BH412" s="31">
        <f t="shared" si="416"/>
        <v>-66.5898709096577</v>
      </c>
      <c r="BI412" s="30" t="str">
        <f t="shared" si="369"/>
        <v>0,325687566650772+0,250274555743587i</v>
      </c>
      <c r="BJ412" s="68">
        <f t="shared" si="417"/>
        <v>-7.72859832741446</v>
      </c>
      <c r="BK412" s="31">
        <f t="shared" si="370"/>
        <v>37.5404706044549</v>
      </c>
      <c r="BL412" s="32">
        <f t="shared" si="418"/>
        <v>-19.9015125058835</v>
      </c>
      <c r="BM412" s="31">
        <f t="shared" si="419"/>
        <v>-66.5898709096577</v>
      </c>
      <c r="BO412">
        <f t="shared" si="420"/>
        <v>0</v>
      </c>
      <c r="BP412">
        <f t="shared" si="421"/>
        <v>0</v>
      </c>
    </row>
    <row r="413" spans="14:68">
      <c r="N413" s="7">
        <v>95</v>
      </c>
      <c r="O413" s="18">
        <f t="shared" si="371"/>
        <v>89125.0938133746</v>
      </c>
      <c r="P413" s="86" t="str">
        <f t="shared" si="372"/>
        <v>60</v>
      </c>
      <c r="Q413" s="4" t="str">
        <f t="shared" si="373"/>
        <v>1+731,719587133617i</v>
      </c>
      <c r="R413" s="4">
        <f t="shared" si="384"/>
        <v>731.720270455173</v>
      </c>
      <c r="S413" s="4">
        <f t="shared" si="385"/>
        <v>1.56942968389642</v>
      </c>
      <c r="T413" s="4" t="str">
        <f t="shared" si="374"/>
        <v>1+8,78063504560341i</v>
      </c>
      <c r="U413" s="4">
        <f t="shared" si="386"/>
        <v>8.8373950802303</v>
      </c>
      <c r="V413" s="4">
        <f t="shared" si="387"/>
        <v>1.45739793168919</v>
      </c>
      <c r="W413" t="str">
        <f t="shared" si="375"/>
        <v>1-12,2497698738887i</v>
      </c>
      <c r="X413" s="4">
        <f t="shared" si="388"/>
        <v>12.2905191901413</v>
      </c>
      <c r="Y413" s="4">
        <f t="shared" si="389"/>
        <v>-1.48934275907715</v>
      </c>
      <c r="Z413" t="str">
        <f t="shared" si="376"/>
        <v>0,935156878798018+3,26851002582593i</v>
      </c>
      <c r="AA413" s="4">
        <f t="shared" si="390"/>
        <v>3.399658244131</v>
      </c>
      <c r="AB413" s="4">
        <f t="shared" si="391"/>
        <v>1.29212987416967</v>
      </c>
      <c r="AC413" s="67" t="str">
        <f t="shared" si="392"/>
        <v>-2,53957521833559-0,643291002700255i</v>
      </c>
      <c r="AD413" s="68">
        <f t="shared" si="393"/>
        <v>8.36530806118758</v>
      </c>
      <c r="AE413" s="31">
        <f t="shared" si="394"/>
        <v>-165.785589289113</v>
      </c>
      <c r="AF413" s="32" t="str">
        <f t="shared" si="395"/>
        <v>326,048966736478</v>
      </c>
      <c r="AG413" s="32" t="str">
        <f t="shared" si="377"/>
        <v>1+470,391163157326i</v>
      </c>
      <c r="AH413" s="32">
        <f t="shared" si="396"/>
        <v>470.392226101263</v>
      </c>
      <c r="AI413" s="32">
        <f t="shared" si="397"/>
        <v>1.56867043972078</v>
      </c>
      <c r="AJ413" s="32" t="str">
        <f t="shared" si="378"/>
        <v>1+8,78063504560341i</v>
      </c>
      <c r="AK413" s="32">
        <f t="shared" si="398"/>
        <v>8.8373950802303</v>
      </c>
      <c r="AL413" s="32">
        <f t="shared" si="399"/>
        <v>1.45739793168919</v>
      </c>
      <c r="AM413" s="32" t="str">
        <f t="shared" si="379"/>
        <v>1-1,44911045140116i</v>
      </c>
      <c r="AN413" s="32">
        <f t="shared" si="400"/>
        <v>1.76065928003123</v>
      </c>
      <c r="AO413" s="32">
        <f t="shared" si="401"/>
        <v>-0.966760154218521</v>
      </c>
      <c r="AP413" s="30" t="str">
        <f t="shared" si="402"/>
        <v>5,10200477650692-9,50194271260498i</v>
      </c>
      <c r="AQ413" s="32">
        <f t="shared" si="403"/>
        <v>20.6564456671875</v>
      </c>
      <c r="AR413" s="31">
        <f t="shared" si="404"/>
        <v>-61.7667217241837</v>
      </c>
      <c r="AS413" t="str">
        <f t="shared" si="380"/>
        <v>-0,000100699300699301</v>
      </c>
      <c r="AT413" t="str">
        <f t="shared" si="381"/>
        <v>0,125829636144585i</v>
      </c>
      <c r="AU413">
        <f t="shared" si="405"/>
        <v>0.125829636144585</v>
      </c>
      <c r="AV413">
        <f t="shared" si="406"/>
        <v>1.5707963267949</v>
      </c>
      <c r="AW413" t="str">
        <f t="shared" si="382"/>
        <v>1+6,44224657618458i</v>
      </c>
      <c r="AX413">
        <f t="shared" si="407"/>
        <v>6.51939728413309</v>
      </c>
      <c r="AY413">
        <f t="shared" si="408"/>
        <v>1.41679996810229</v>
      </c>
      <c r="AZ413" t="str">
        <f t="shared" si="383"/>
        <v>1+307,994213972058i</v>
      </c>
      <c r="BA413">
        <f t="shared" si="409"/>
        <v>307.9958373749</v>
      </c>
      <c r="BB413">
        <f t="shared" si="410"/>
        <v>1.56754952396314</v>
      </c>
      <c r="BC413" s="30" t="str">
        <f t="shared" si="411"/>
        <v>-0,00567793982650009+0,0373789712639748i</v>
      </c>
      <c r="BD413" s="32">
        <f t="shared" si="412"/>
        <v>-28.4483817281393</v>
      </c>
      <c r="BE413" s="31">
        <f t="shared" si="413"/>
        <v>98.6373133142987</v>
      </c>
      <c r="BF413" s="30" t="str">
        <f t="shared" si="414"/>
        <v>0,0384651111788867-0,0912741415046076i</v>
      </c>
      <c r="BG413" s="68">
        <f t="shared" si="415"/>
        <v>-20.0830736669517</v>
      </c>
      <c r="BH413" s="31">
        <f t="shared" si="416"/>
        <v>-67.148275974814</v>
      </c>
      <c r="BI413" s="30" t="str">
        <f t="shared" si="369"/>
        <v>0,326203967490874+0,244659148886736i</v>
      </c>
      <c r="BJ413" s="68">
        <f t="shared" si="417"/>
        <v>-7.79193606095181</v>
      </c>
      <c r="BK413" s="31">
        <f t="shared" si="370"/>
        <v>36.870591590115</v>
      </c>
      <c r="BL413" s="32">
        <f t="shared" si="418"/>
        <v>-20.0830736669517</v>
      </c>
      <c r="BM413" s="31">
        <f t="shared" si="419"/>
        <v>-67.148275974814</v>
      </c>
      <c r="BO413">
        <f t="shared" si="420"/>
        <v>0</v>
      </c>
      <c r="BP413">
        <f t="shared" si="421"/>
        <v>0</v>
      </c>
    </row>
    <row r="414" spans="14:68">
      <c r="N414" s="7">
        <v>96</v>
      </c>
      <c r="O414" s="18">
        <f t="shared" si="371"/>
        <v>91201.083935591</v>
      </c>
      <c r="P414" s="86" t="str">
        <f t="shared" si="372"/>
        <v>60</v>
      </c>
      <c r="Q414" s="4" t="str">
        <f t="shared" si="373"/>
        <v>1+748,763525828398i</v>
      </c>
      <c r="R414" s="4">
        <f t="shared" si="384"/>
        <v>748.76419359567</v>
      </c>
      <c r="S414" s="4">
        <f t="shared" si="385"/>
        <v>1.56946079244933</v>
      </c>
      <c r="T414" s="4" t="str">
        <f t="shared" si="374"/>
        <v>1+8,98516230994079i</v>
      </c>
      <c r="U414" s="4">
        <f t="shared" si="386"/>
        <v>9.04063834781486</v>
      </c>
      <c r="V414" s="4">
        <f t="shared" si="387"/>
        <v>1.45995786302478</v>
      </c>
      <c r="W414" t="str">
        <f t="shared" si="375"/>
        <v>1-12,5351036690022i</v>
      </c>
      <c r="X414" s="4">
        <f t="shared" si="388"/>
        <v>12.5749283891652</v>
      </c>
      <c r="Y414" s="4">
        <f t="shared" si="389"/>
        <v>-1.49118895466931</v>
      </c>
      <c r="Z414" t="str">
        <f t="shared" si="376"/>
        <v>0,932100916644679+3,34464340462707i</v>
      </c>
      <c r="AA414" s="4">
        <f t="shared" si="390"/>
        <v>3.4720961425233</v>
      </c>
      <c r="AB414" s="4">
        <f t="shared" si="391"/>
        <v>1.29900772461732</v>
      </c>
      <c r="AC414" s="67" t="str">
        <f t="shared" si="392"/>
        <v>-2,54734289620642-0,628490749211056i</v>
      </c>
      <c r="AD414" s="68">
        <f t="shared" si="393"/>
        <v>8.37838114355533</v>
      </c>
      <c r="AE414" s="31">
        <f t="shared" si="394"/>
        <v>-166.140549434887</v>
      </c>
      <c r="AF414" s="32" t="str">
        <f t="shared" si="395"/>
        <v>326,048966736478</v>
      </c>
      <c r="AG414" s="32" t="str">
        <f t="shared" si="377"/>
        <v>1+481,347980889685i</v>
      </c>
      <c r="AH414" s="32">
        <f t="shared" si="396"/>
        <v>481.349019638117</v>
      </c>
      <c r="AI414" s="32">
        <f t="shared" si="397"/>
        <v>1.56871883067766</v>
      </c>
      <c r="AJ414" s="32" t="str">
        <f t="shared" si="378"/>
        <v>1+8,98516230994079i</v>
      </c>
      <c r="AK414" s="32">
        <f t="shared" si="398"/>
        <v>9.04063834781486</v>
      </c>
      <c r="AL414" s="32">
        <f t="shared" si="399"/>
        <v>1.45995786302478</v>
      </c>
      <c r="AM414" s="32" t="str">
        <f t="shared" si="379"/>
        <v>1-1,48286456995961i</v>
      </c>
      <c r="AN414" s="32">
        <f t="shared" si="400"/>
        <v>1.78854335503546</v>
      </c>
      <c r="AO414" s="32">
        <f t="shared" si="401"/>
        <v>-0.977479302928113</v>
      </c>
      <c r="AP414" s="30" t="str">
        <f t="shared" si="402"/>
        <v>5,10193949395154-9,69184776463619i</v>
      </c>
      <c r="AQ414" s="32">
        <f t="shared" si="403"/>
        <v>20.7904261048851</v>
      </c>
      <c r="AR414" s="31">
        <f t="shared" si="404"/>
        <v>-62.2369830414395</v>
      </c>
      <c r="AS414" t="str">
        <f t="shared" si="380"/>
        <v>-0,000100699300699301</v>
      </c>
      <c r="AT414" t="str">
        <f t="shared" si="381"/>
        <v>0,128760584887991i</v>
      </c>
      <c r="AU414">
        <f t="shared" si="405"/>
        <v>0.128760584887991</v>
      </c>
      <c r="AV414">
        <f t="shared" si="406"/>
        <v>1.5707963267949</v>
      </c>
      <c r="AW414" t="str">
        <f t="shared" si="382"/>
        <v>1+6,59230577595437i</v>
      </c>
      <c r="AX414">
        <f t="shared" si="407"/>
        <v>6.66772040833157</v>
      </c>
      <c r="AY414">
        <f t="shared" si="408"/>
        <v>1.42025203068776</v>
      </c>
      <c r="AZ414" t="str">
        <f t="shared" si="383"/>
        <v>1+315,168320820627i</v>
      </c>
      <c r="BA414">
        <f t="shared" si="409"/>
        <v>315.169907270497</v>
      </c>
      <c r="BB414">
        <f t="shared" si="410"/>
        <v>1.5676234297168</v>
      </c>
      <c r="BC414" s="30" t="str">
        <f t="shared" si="411"/>
        <v>-0,00542813848219091+0,0365660148639048i</v>
      </c>
      <c r="BD414" s="32">
        <f t="shared" si="412"/>
        <v>-28.6437824571647</v>
      </c>
      <c r="BE414" s="31">
        <f t="shared" si="413"/>
        <v>98.4437591853023</v>
      </c>
      <c r="BF414" s="30" t="str">
        <f t="shared" si="414"/>
        <v>0,0368087320797119-0,0897346433846527i</v>
      </c>
      <c r="BG414" s="68">
        <f t="shared" si="415"/>
        <v>-20.2654013136094</v>
      </c>
      <c r="BH414" s="31">
        <f t="shared" si="416"/>
        <v>-67.6967902495847</v>
      </c>
      <c r="BI414" s="30" t="str">
        <f t="shared" si="369"/>
        <v>0,326698215319461+0,239166287185333i</v>
      </c>
      <c r="BJ414" s="68">
        <f t="shared" si="417"/>
        <v>-7.85335635227967</v>
      </c>
      <c r="BK414" s="31">
        <f t="shared" si="370"/>
        <v>36.2067761438628</v>
      </c>
      <c r="BL414" s="32">
        <f t="shared" si="418"/>
        <v>-20.2654013136094</v>
      </c>
      <c r="BM414" s="31">
        <f t="shared" si="419"/>
        <v>-67.6967902495847</v>
      </c>
      <c r="BO414">
        <f t="shared" si="420"/>
        <v>0</v>
      </c>
      <c r="BP414">
        <f t="shared" si="421"/>
        <v>0</v>
      </c>
    </row>
    <row r="415" spans="14:68">
      <c r="N415" s="7">
        <v>97</v>
      </c>
      <c r="O415" s="18">
        <f t="shared" si="371"/>
        <v>93325.4300796991</v>
      </c>
      <c r="P415" s="86" t="str">
        <f t="shared" si="372"/>
        <v>60</v>
      </c>
      <c r="Q415" s="4" t="str">
        <f t="shared" si="373"/>
        <v>1+766,204468855628i</v>
      </c>
      <c r="R415" s="4">
        <f t="shared" si="384"/>
        <v>766.205121422674</v>
      </c>
      <c r="S415" s="4">
        <f t="shared" si="385"/>
        <v>1.56949119288762</v>
      </c>
      <c r="T415" s="4" t="str">
        <f t="shared" si="374"/>
        <v>1+9,19445362626755i</v>
      </c>
      <c r="U415" s="4">
        <f t="shared" si="386"/>
        <v>9.24867436369043</v>
      </c>
      <c r="V415" s="4">
        <f t="shared" si="387"/>
        <v>1.46246093350129</v>
      </c>
      <c r="W415" t="str">
        <f t="shared" si="375"/>
        <v>1-12,8270837420027i</v>
      </c>
      <c r="X415" s="4">
        <f t="shared" si="388"/>
        <v>12.8660047149202</v>
      </c>
      <c r="Y415" s="4">
        <f t="shared" si="389"/>
        <v>-1.49299365135932</v>
      </c>
      <c r="Z415" t="str">
        <f t="shared" si="376"/>
        <v>0,928900931432156+3,42255015763292i</v>
      </c>
      <c r="AA415" s="4">
        <f t="shared" si="390"/>
        <v>3.5463652550081</v>
      </c>
      <c r="AB415" s="4">
        <f t="shared" si="391"/>
        <v>1.30577441252758</v>
      </c>
      <c r="AC415" s="67" t="str">
        <f t="shared" si="392"/>
        <v>-2,55481352202111-0,613829020942175i</v>
      </c>
      <c r="AD415" s="68">
        <f t="shared" si="393"/>
        <v>8.39091862673187</v>
      </c>
      <c r="AE415" s="31">
        <f t="shared" si="394"/>
        <v>-166.489980039748</v>
      </c>
      <c r="AF415" s="32" t="str">
        <f t="shared" si="395"/>
        <v>326,048966736478</v>
      </c>
      <c r="AG415" s="32" t="str">
        <f t="shared" si="377"/>
        <v>1+492,560015692904i</v>
      </c>
      <c r="AH415" s="32">
        <f t="shared" si="396"/>
        <v>492.561030796584</v>
      </c>
      <c r="AI415" s="32">
        <f t="shared" si="397"/>
        <v>1.56876612013129</v>
      </c>
      <c r="AJ415" s="32" t="str">
        <f t="shared" si="378"/>
        <v>1+9,19445362626755i</v>
      </c>
      <c r="AK415" s="32">
        <f t="shared" si="398"/>
        <v>9.24867436369043</v>
      </c>
      <c r="AL415" s="32">
        <f t="shared" si="399"/>
        <v>1.46246093350129</v>
      </c>
      <c r="AM415" s="32" t="str">
        <f t="shared" si="379"/>
        <v>1-1,51740492294108i</v>
      </c>
      <c r="AN415" s="32">
        <f t="shared" si="400"/>
        <v>1.81728305449807</v>
      </c>
      <c r="AO415" s="32">
        <f t="shared" si="401"/>
        <v>-0.988106357160861</v>
      </c>
      <c r="AP415" s="30" t="str">
        <f t="shared" si="402"/>
        <v>5,10187714957035-9,88689155042756i</v>
      </c>
      <c r="AQ415" s="32">
        <f t="shared" si="403"/>
        <v>20.9264968884823</v>
      </c>
      <c r="AR415" s="31">
        <f t="shared" si="404"/>
        <v>-62.7051625096131</v>
      </c>
      <c r="AS415" t="str">
        <f t="shared" si="380"/>
        <v>-0,000100699300699301</v>
      </c>
      <c r="AT415" t="str">
        <f t="shared" si="381"/>
        <v>0,131759804197852i</v>
      </c>
      <c r="AU415">
        <f t="shared" si="405"/>
        <v>0.131759804197852</v>
      </c>
      <c r="AV415">
        <f t="shared" si="406"/>
        <v>1.5707963267949</v>
      </c>
      <c r="AW415" t="str">
        <f t="shared" si="382"/>
        <v>1+6,74586030350604i</v>
      </c>
      <c r="AX415">
        <f t="shared" si="407"/>
        <v>6.8195770568576</v>
      </c>
      <c r="AY415">
        <f t="shared" si="408"/>
        <v>1.42362901178711</v>
      </c>
      <c r="AZ415" t="str">
        <f t="shared" si="383"/>
        <v>1+322,509534084639i</v>
      </c>
      <c r="BA415">
        <f t="shared" si="409"/>
        <v>322.511084422677</v>
      </c>
      <c r="BB415">
        <f t="shared" si="410"/>
        <v>1.56769565320362</v>
      </c>
      <c r="BC415" s="30" t="str">
        <f t="shared" si="411"/>
        <v>-0,00518908515995789+0,0357691077871532i</v>
      </c>
      <c r="BD415" s="32">
        <f t="shared" si="412"/>
        <v>-28.8393856318958</v>
      </c>
      <c r="BE415" s="31">
        <f t="shared" si="413"/>
        <v>98.2544105217902</v>
      </c>
      <c r="BF415" s="30" t="str">
        <f t="shared" si="414"/>
        <v>0,0352132613465429-0,0881981891819271i</v>
      </c>
      <c r="BG415" s="68">
        <f t="shared" si="415"/>
        <v>-20.4484670051639</v>
      </c>
      <c r="BH415" s="31">
        <f t="shared" si="416"/>
        <v>-68.2355695179577</v>
      </c>
      <c r="BI415" s="30" t="str">
        <f t="shared" si="369"/>
        <v>0,327171214542374+0,233793515902232i</v>
      </c>
      <c r="BJ415" s="68">
        <f t="shared" si="417"/>
        <v>-7.91288874341346</v>
      </c>
      <c r="BK415" s="31">
        <f t="shared" si="370"/>
        <v>35.549248012177</v>
      </c>
      <c r="BL415" s="32">
        <f t="shared" si="418"/>
        <v>-20.4484670051639</v>
      </c>
      <c r="BM415" s="31">
        <f t="shared" si="419"/>
        <v>-68.2355695179577</v>
      </c>
      <c r="BO415">
        <f t="shared" si="420"/>
        <v>0</v>
      </c>
      <c r="BP415">
        <f t="shared" si="421"/>
        <v>0</v>
      </c>
    </row>
    <row r="416" spans="14:68">
      <c r="N416" s="7">
        <v>98</v>
      </c>
      <c r="O416" s="18">
        <f t="shared" si="371"/>
        <v>95499.2586021438</v>
      </c>
      <c r="P416" s="86" t="str">
        <f t="shared" si="372"/>
        <v>60</v>
      </c>
      <c r="Q416" s="4" t="str">
        <f t="shared" si="373"/>
        <v>1+784,051663634164i</v>
      </c>
      <c r="R416" s="4">
        <f t="shared" si="384"/>
        <v>784.052301346983</v>
      </c>
      <c r="S416" s="4">
        <f t="shared" si="385"/>
        <v>1.56952090132978</v>
      </c>
      <c r="T416" s="4" t="str">
        <f t="shared" si="374"/>
        <v>1+9,40861996360998i</v>
      </c>
      <c r="U416" s="4">
        <f t="shared" si="386"/>
        <v>9.46161347866421</v>
      </c>
      <c r="V416" s="4">
        <f t="shared" si="387"/>
        <v>1.46490834475053</v>
      </c>
      <c r="W416" t="str">
        <f t="shared" si="375"/>
        <v>1-13,1258649045898i</v>
      </c>
      <c r="X416" s="4">
        <f t="shared" si="388"/>
        <v>13.1639025176253</v>
      </c>
      <c r="Y416" s="4">
        <f t="shared" si="389"/>
        <v>-1.49475775897284</v>
      </c>
      <c r="Z416" t="str">
        <f t="shared" si="376"/>
        <v>0,925550135562782+3,50227159203516i</v>
      </c>
      <c r="AA416" s="4">
        <f t="shared" si="390"/>
        <v>3.62250595000433</v>
      </c>
      <c r="AB416" s="4">
        <f t="shared" si="391"/>
        <v>1.31243153214977</v>
      </c>
      <c r="AC416" s="67" t="str">
        <f t="shared" si="392"/>
        <v>-2,56199579423863-0,599309000148262i</v>
      </c>
      <c r="AD416" s="68">
        <f t="shared" si="393"/>
        <v>8.40293938114934</v>
      </c>
      <c r="AE416" s="31">
        <f t="shared" si="394"/>
        <v>-166.833956651712</v>
      </c>
      <c r="AF416" s="32" t="str">
        <f t="shared" si="395"/>
        <v>326,048966736478</v>
      </c>
      <c r="AG416" s="32" t="str">
        <f t="shared" si="377"/>
        <v>1+504,033212336249i</v>
      </c>
      <c r="AH416" s="32">
        <f t="shared" si="396"/>
        <v>504.034204333395</v>
      </c>
      <c r="AI416" s="32">
        <f t="shared" si="397"/>
        <v>1.5688123331543</v>
      </c>
      <c r="AJ416" s="32" t="str">
        <f t="shared" si="378"/>
        <v>1+9,40861996360998i</v>
      </c>
      <c r="AK416" s="32">
        <f t="shared" si="398"/>
        <v>9.46161347866421</v>
      </c>
      <c r="AL416" s="32">
        <f t="shared" si="399"/>
        <v>1.46490834475053</v>
      </c>
      <c r="AM416" s="32" t="str">
        <f t="shared" si="379"/>
        <v>1-1,55274982409793i</v>
      </c>
      <c r="AN416" s="32">
        <f t="shared" si="400"/>
        <v>1.84689794418537</v>
      </c>
      <c r="AO416" s="32">
        <f t="shared" si="401"/>
        <v>-0.998637350158847</v>
      </c>
      <c r="AP416" s="30" t="str">
        <f t="shared" si="402"/>
        <v>5,10181761112593-10,0871774855911i</v>
      </c>
      <c r="AQ416" s="32">
        <f t="shared" si="403"/>
        <v>21.0646183888809</v>
      </c>
      <c r="AR416" s="31">
        <f t="shared" si="404"/>
        <v>-63.1709654383424</v>
      </c>
      <c r="AS416" t="str">
        <f t="shared" si="380"/>
        <v>-0,000100699300699301</v>
      </c>
      <c r="AT416" t="str">
        <f t="shared" si="381"/>
        <v>0,134828884299946i</v>
      </c>
      <c r="AU416">
        <f t="shared" si="405"/>
        <v>0.134828884299946</v>
      </c>
      <c r="AV416">
        <f t="shared" si="406"/>
        <v>1.5707963267949</v>
      </c>
      <c r="AW416" t="str">
        <f t="shared" si="382"/>
        <v>1+6,90299157548267i</v>
      </c>
      <c r="AX416">
        <f t="shared" si="407"/>
        <v>6.97504786300314</v>
      </c>
      <c r="AY416">
        <f t="shared" si="408"/>
        <v>1.42693239367222</v>
      </c>
      <c r="AZ416" t="str">
        <f t="shared" si="383"/>
        <v>1+330,021746172543i</v>
      </c>
      <c r="BA416">
        <f t="shared" si="409"/>
        <v>330.023261220742</v>
      </c>
      <c r="BB416">
        <f t="shared" si="410"/>
        <v>1.56776623271441</v>
      </c>
      <c r="BC416" s="30" t="str">
        <f t="shared" si="411"/>
        <v>-0,0049603382896727+0,0349880408432317i</v>
      </c>
      <c r="BD416" s="32">
        <f t="shared" si="412"/>
        <v>-29.0351825331865</v>
      </c>
      <c r="BE416" s="31">
        <f t="shared" si="413"/>
        <v>98.0691845897422</v>
      </c>
      <c r="BF416" s="30" t="str">
        <f t="shared" si="414"/>
        <v>0,033677013611046-0,0866664381082281i</v>
      </c>
      <c r="BG416" s="68">
        <f t="shared" si="415"/>
        <v>-20.6322431520371</v>
      </c>
      <c r="BH416" s="31">
        <f t="shared" si="416"/>
        <v>-68.7647720619697</v>
      </c>
      <c r="BI416" s="30" t="str">
        <f t="shared" si="369"/>
        <v>0,327623836615394+0,228538415669295i</v>
      </c>
      <c r="BJ416" s="68">
        <f t="shared" si="417"/>
        <v>-7.97056414430558</v>
      </c>
      <c r="BK416" s="31">
        <f t="shared" si="370"/>
        <v>34.8982191513999</v>
      </c>
      <c r="BL416" s="32">
        <f t="shared" si="418"/>
        <v>-20.6322431520371</v>
      </c>
      <c r="BM416" s="31">
        <f t="shared" si="419"/>
        <v>-68.7647720619697</v>
      </c>
      <c r="BO416">
        <f t="shared" si="420"/>
        <v>0</v>
      </c>
      <c r="BP416">
        <f t="shared" si="421"/>
        <v>0</v>
      </c>
    </row>
    <row r="417" spans="14:68">
      <c r="N417" s="7">
        <v>99</v>
      </c>
      <c r="O417" s="18">
        <f t="shared" si="371"/>
        <v>97723.7220955813</v>
      </c>
      <c r="P417" s="86" t="str">
        <f t="shared" si="372"/>
        <v>60</v>
      </c>
      <c r="Q417" s="4" t="str">
        <f t="shared" si="373"/>
        <v>1+802,314572982907i</v>
      </c>
      <c r="R417" s="4">
        <f t="shared" si="384"/>
        <v>802.315196179621</v>
      </c>
      <c r="S417" s="4">
        <f t="shared" si="385"/>
        <v>1.56954993352742</v>
      </c>
      <c r="T417" s="4" t="str">
        <f t="shared" si="374"/>
        <v>1+9,6277748757949i</v>
      </c>
      <c r="U417" s="4">
        <f t="shared" si="386"/>
        <v>9.67956864012997</v>
      </c>
      <c r="V417" s="4">
        <f t="shared" si="387"/>
        <v>1.46730127708203</v>
      </c>
      <c r="W417" t="str">
        <f t="shared" si="375"/>
        <v>1-13,4316055744906i</v>
      </c>
      <c r="X417" s="4">
        <f t="shared" si="388"/>
        <v>13.4687797631666</v>
      </c>
      <c r="Y417" s="4">
        <f t="shared" si="389"/>
        <v>-1.49648216891823</v>
      </c>
      <c r="Z417" t="str">
        <f t="shared" si="376"/>
        <v>0,92204142154927+3,58384997719355i</v>
      </c>
      <c r="AA417" s="4">
        <f t="shared" si="390"/>
        <v>3.70055955796996</v>
      </c>
      <c r="AB417" s="4">
        <f t="shared" si="391"/>
        <v>1.31898073201121</v>
      </c>
      <c r="AC417" s="67" t="str">
        <f t="shared" si="392"/>
        <v>-2,56889833232476-0,584933410192384i</v>
      </c>
      <c r="AD417" s="68">
        <f t="shared" si="393"/>
        <v>8.41446179028463</v>
      </c>
      <c r="AE417" s="31">
        <f t="shared" si="394"/>
        <v>-167.17255807412</v>
      </c>
      <c r="AF417" s="32" t="str">
        <f t="shared" si="395"/>
        <v>326,048966736478</v>
      </c>
      <c r="AG417" s="32" t="str">
        <f t="shared" si="377"/>
        <v>1+515,773654060441i</v>
      </c>
      <c r="AH417" s="32">
        <f t="shared" si="396"/>
        <v>515.774623477018</v>
      </c>
      <c r="AI417" s="32">
        <f t="shared" si="397"/>
        <v>1.56885749424868</v>
      </c>
      <c r="AJ417" s="32" t="str">
        <f t="shared" si="378"/>
        <v>1+9,6277748757949i</v>
      </c>
      <c r="AK417" s="32">
        <f t="shared" si="398"/>
        <v>9.67956864012997</v>
      </c>
      <c r="AL417" s="32">
        <f t="shared" si="399"/>
        <v>1.46730127708203</v>
      </c>
      <c r="AM417" s="32" t="str">
        <f t="shared" si="379"/>
        <v>1-1,58891801376459i</v>
      </c>
      <c r="AN417" s="32">
        <f t="shared" si="400"/>
        <v>1.87740790838475</v>
      </c>
      <c r="AO417" s="32">
        <f t="shared" si="401"/>
        <v>-1.0090685221589</v>
      </c>
      <c r="AP417" s="30" t="str">
        <f t="shared" si="402"/>
        <v>5,10176075233229-10,2928117651414i</v>
      </c>
      <c r="AQ417" s="32">
        <f t="shared" si="403"/>
        <v>21.2047500873623</v>
      </c>
      <c r="AR417" s="31">
        <f t="shared" si="404"/>
        <v>-63.6341101861713</v>
      </c>
      <c r="AS417" t="str">
        <f t="shared" si="380"/>
        <v>-0,000100699300699301</v>
      </c>
      <c r="AT417" t="str">
        <f t="shared" si="381"/>
        <v>0,137969452461168i</v>
      </c>
      <c r="AU417">
        <f t="shared" si="405"/>
        <v>0.137969452461168</v>
      </c>
      <c r="AV417">
        <f t="shared" si="406"/>
        <v>1.5707963267949</v>
      </c>
      <c r="AW417" t="str">
        <f t="shared" si="382"/>
        <v>1+7,0637829049645i</v>
      </c>
      <c r="AX417">
        <f t="shared" si="407"/>
        <v>7.13421536880326</v>
      </c>
      <c r="AY417">
        <f t="shared" si="408"/>
        <v>1.43016363930917</v>
      </c>
      <c r="AZ417" t="str">
        <f t="shared" si="383"/>
        <v>1+337,708940158621i</v>
      </c>
      <c r="BA417">
        <f t="shared" si="409"/>
        <v>337.710420720266</v>
      </c>
      <c r="BB417">
        <f t="shared" si="410"/>
        <v>1.56783520566857</v>
      </c>
      <c r="BC417" s="30" t="str">
        <f t="shared" si="411"/>
        <v>-0,00474147263718122+0,0342225999989417i</v>
      </c>
      <c r="BD417" s="32">
        <f t="shared" si="412"/>
        <v>-29.2311648008552</v>
      </c>
      <c r="BE417" s="31">
        <f t="shared" si="413"/>
        <v>97.887999711349</v>
      </c>
      <c r="BF417" s="30" t="str">
        <f t="shared" si="414"/>
        <v>0,0321983032734492-0,0851409343060984i</v>
      </c>
      <c r="BG417" s="68">
        <f t="shared" si="415"/>
        <v>-20.8167030105705</v>
      </c>
      <c r="BH417" s="31">
        <f t="shared" si="416"/>
        <v>-69.2845583627715</v>
      </c>
      <c r="BI417" s="30" t="str">
        <f t="shared" si="369"/>
        <v>0,328056920894207+0,223398602861443i</v>
      </c>
      <c r="BJ417" s="68">
        <f t="shared" si="417"/>
        <v>-8.02641471349288</v>
      </c>
      <c r="BK417" s="31">
        <f t="shared" si="370"/>
        <v>34.2538895251776</v>
      </c>
      <c r="BL417" s="32">
        <f t="shared" si="418"/>
        <v>-20.8167030105705</v>
      </c>
      <c r="BM417" s="31">
        <f t="shared" si="419"/>
        <v>-69.2845583627715</v>
      </c>
      <c r="BO417">
        <f t="shared" si="420"/>
        <v>0</v>
      </c>
      <c r="BP417">
        <f t="shared" si="421"/>
        <v>0</v>
      </c>
    </row>
    <row r="418" spans="14:68">
      <c r="N418" s="7">
        <v>100</v>
      </c>
      <c r="O418" s="18">
        <f t="shared" si="371"/>
        <v>100000</v>
      </c>
      <c r="P418" s="86" t="str">
        <f t="shared" si="372"/>
        <v>60</v>
      </c>
      <c r="Q418" s="4" t="str">
        <f t="shared" si="373"/>
        <v>1+821,002880138133i</v>
      </c>
      <c r="R418" s="4">
        <f t="shared" si="384"/>
        <v>821.003489149169</v>
      </c>
      <c r="S418" s="4">
        <f t="shared" si="385"/>
        <v>1.56957830487358</v>
      </c>
      <c r="T418" s="4" t="str">
        <f t="shared" si="374"/>
        <v>1+9,8520345616576i</v>
      </c>
      <c r="U418" s="4">
        <f t="shared" si="386"/>
        <v>9.90265545215504</v>
      </c>
      <c r="V418" s="4">
        <f t="shared" si="387"/>
        <v>1.4696408895825</v>
      </c>
      <c r="W418" t="str">
        <f t="shared" si="375"/>
        <v>1-13,7444678594554i</v>
      </c>
      <c r="X418" s="4">
        <f t="shared" si="388"/>
        <v>13.7807981169308</v>
      </c>
      <c r="Y418" s="4">
        <f t="shared" si="389"/>
        <v>-1.49816775445602</v>
      </c>
      <c r="Z418" t="str">
        <f t="shared" si="376"/>
        <v>0,918367346938775+3,66732856704769i</v>
      </c>
      <c r="AA418" s="4">
        <f t="shared" si="390"/>
        <v>3.78056839676356</v>
      </c>
      <c r="AB418" s="4">
        <f t="shared" si="391"/>
        <v>1.32542371025396</v>
      </c>
      <c r="AC418" s="67" t="str">
        <f t="shared" si="392"/>
        <v>-2,57552965908336-0,570704534967778i</v>
      </c>
      <c r="AD418" s="68">
        <f t="shared" si="393"/>
        <v>8.42550374432975</v>
      </c>
      <c r="AE418" s="31">
        <f t="shared" si="394"/>
        <v>-167.505866108669</v>
      </c>
      <c r="AF418" s="32" t="str">
        <f t="shared" si="395"/>
        <v>326,048966736478</v>
      </c>
      <c r="AG418" s="32" t="str">
        <f t="shared" si="377"/>
        <v>1+527,787565803086i</v>
      </c>
      <c r="AH418" s="32">
        <f t="shared" si="396"/>
        <v>527.788513153087</v>
      </c>
      <c r="AI418" s="32">
        <f t="shared" si="397"/>
        <v>1.56890162735868</v>
      </c>
      <c r="AJ418" s="32" t="str">
        <f t="shared" si="378"/>
        <v>1+9,8520345616576i</v>
      </c>
      <c r="AK418" s="32">
        <f t="shared" si="398"/>
        <v>9.90265545215504</v>
      </c>
      <c r="AL418" s="32">
        <f t="shared" si="399"/>
        <v>1.4696408895825</v>
      </c>
      <c r="AM418" s="32" t="str">
        <f t="shared" si="379"/>
        <v>1-1,62592866879396i</v>
      </c>
      <c r="AN418" s="32">
        <f t="shared" si="400"/>
        <v>1.90883316086192</v>
      </c>
      <c r="AO418" s="32">
        <f t="shared" si="401"/>
        <v>-1.01939632355918</v>
      </c>
      <c r="AP418" s="30" t="str">
        <f t="shared" si="402"/>
        <v>5,10170645258711-10,5039034198053i</v>
      </c>
      <c r="AQ418" s="32">
        <f t="shared" si="403"/>
        <v>21.3468506816866</v>
      </c>
      <c r="AR418" s="31">
        <f t="shared" si="404"/>
        <v>-64.0943283370234</v>
      </c>
      <c r="AS418" t="str">
        <f t="shared" si="380"/>
        <v>-0,000100699300699301</v>
      </c>
      <c r="AT418" t="str">
        <f t="shared" si="381"/>
        <v>0,141183173852325i</v>
      </c>
      <c r="AU418">
        <f t="shared" si="405"/>
        <v>0.141183173852325</v>
      </c>
      <c r="AV418">
        <f t="shared" si="406"/>
        <v>1.5707963267949</v>
      </c>
      <c r="AW418" t="str">
        <f t="shared" si="382"/>
        <v>1+7,22831954564274i</v>
      </c>
      <c r="AX418">
        <f t="shared" si="407"/>
        <v>7.29716406927519</v>
      </c>
      <c r="AY418">
        <f t="shared" si="408"/>
        <v>1.43332419190806</v>
      </c>
      <c r="AZ418" t="str">
        <f t="shared" si="383"/>
        <v>1+345,575191894877i</v>
      </c>
      <c r="BA418">
        <f t="shared" si="409"/>
        <v>345.576638754967</v>
      </c>
      <c r="BB418">
        <f t="shared" si="410"/>
        <v>1.56790260863384</v>
      </c>
      <c r="BC418" s="30" t="str">
        <f t="shared" si="411"/>
        <v>-0,00453207885887542+0,0334725670450081i</v>
      </c>
      <c r="BD418" s="32">
        <f t="shared" si="412"/>
        <v>-29.4273244203386</v>
      </c>
      <c r="BE418" s="31">
        <f t="shared" si="413"/>
        <v>97.7107752919402</v>
      </c>
      <c r="BF418" s="30" t="str">
        <f t="shared" si="414"/>
        <v>0,0307754493279374-0,0836231112324828i</v>
      </c>
      <c r="BG418" s="68">
        <f t="shared" si="415"/>
        <v>-21.0018206760088</v>
      </c>
      <c r="BH418" s="31">
        <f t="shared" si="416"/>
        <v>-69.7950908167291</v>
      </c>
      <c r="BI418" s="30" t="str">
        <f t="shared" si="369"/>
        <v>0,328471275495764+0,218371729902741i</v>
      </c>
      <c r="BJ418" s="68">
        <f t="shared" si="417"/>
        <v>-8.08047373865193</v>
      </c>
      <c r="BK418" s="31">
        <f t="shared" si="370"/>
        <v>33.6164469549168</v>
      </c>
      <c r="BL418" s="32">
        <f t="shared" si="418"/>
        <v>-21.0018206760088</v>
      </c>
      <c r="BM418" s="31">
        <f t="shared" si="419"/>
        <v>-69.7950908167291</v>
      </c>
      <c r="BO418">
        <f t="shared" si="420"/>
        <v>0</v>
      </c>
      <c r="BP418">
        <f t="shared" si="421"/>
        <v>0</v>
      </c>
    </row>
    <row r="419" spans="14:68">
      <c r="N419" s="7">
        <v>1</v>
      </c>
      <c r="O419" s="18">
        <f>10^(5+(N419/100))</f>
        <v>102329.299228075</v>
      </c>
      <c r="P419" s="86" t="str">
        <f t="shared" si="372"/>
        <v>60</v>
      </c>
      <c r="Q419" s="4" t="str">
        <f t="shared" si="373"/>
        <v>1+840,126493887663i</v>
      </c>
      <c r="R419" s="4">
        <f t="shared" si="384"/>
        <v>840.127089035925</v>
      </c>
      <c r="S419" s="4">
        <f t="shared" si="385"/>
        <v>1.56960603041095</v>
      </c>
      <c r="T419" s="4" t="str">
        <f t="shared" si="374"/>
        <v>1+10,081517926652i</v>
      </c>
      <c r="U419" s="4">
        <f t="shared" si="386"/>
        <v>10.1309922369631</v>
      </c>
      <c r="V419" s="4">
        <f t="shared" si="387"/>
        <v>1.47192832023709</v>
      </c>
      <c r="W419" t="str">
        <f t="shared" si="375"/>
        <v>1-14,0646176432087i</v>
      </c>
      <c r="X419" s="4">
        <f t="shared" si="388"/>
        <v>14.100123029593</v>
      </c>
      <c r="Y419" s="4">
        <f t="shared" si="389"/>
        <v>-1.49981537097183</v>
      </c>
      <c r="Z419" t="str">
        <f t="shared" si="376"/>
        <v>0,914520118526458+3,7527516230509i</v>
      </c>
      <c r="AA419" s="4">
        <f t="shared" si="390"/>
        <v>3.86257579750881</v>
      </c>
      <c r="AB419" s="4">
        <f t="shared" si="391"/>
        <v>1.33176221018791</v>
      </c>
      <c r="AC419" s="67" t="str">
        <f t="shared" si="392"/>
        <v>-2,58189818476739-0,556624238354034i</v>
      </c>
      <c r="AD419" s="68">
        <f t="shared" si="393"/>
        <v>8.43608263586536</v>
      </c>
      <c r="AE419" s="31">
        <f t="shared" si="394"/>
        <v>-167.83396530978</v>
      </c>
      <c r="AF419" s="32" t="str">
        <f t="shared" si="395"/>
        <v>326,048966736478</v>
      </c>
      <c r="AG419" s="32" t="str">
        <f t="shared" si="377"/>
        <v>1+540,081317499212i</v>
      </c>
      <c r="AH419" s="32">
        <f t="shared" si="396"/>
        <v>540.082243284932</v>
      </c>
      <c r="AI419" s="32">
        <f t="shared" si="397"/>
        <v>1.56894475588358</v>
      </c>
      <c r="AJ419" s="32" t="str">
        <f t="shared" si="378"/>
        <v>1+10,081517926652i</v>
      </c>
      <c r="AK419" s="32">
        <f t="shared" si="398"/>
        <v>10.1309922369631</v>
      </c>
      <c r="AL419" s="32">
        <f t="shared" si="399"/>
        <v>1.47192832023709</v>
      </c>
      <c r="AM419" s="32" t="str">
        <f t="shared" si="379"/>
        <v>1-1,66380141272522i</v>
      </c>
      <c r="AN419" s="32">
        <f t="shared" si="400"/>
        <v>1.94119425637581</v>
      </c>
      <c r="AO419" s="32">
        <f t="shared" si="401"/>
        <v>-1.02961741714117</v>
      </c>
      <c r="AP419" s="30" t="str">
        <f t="shared" si="402"/>
        <v>5,10165459671592-10,7205643738345i</v>
      </c>
      <c r="AQ419" s="32">
        <f t="shared" si="403"/>
        <v>21.4908781919659</v>
      </c>
      <c r="AR419" s="31">
        <f t="shared" si="404"/>
        <v>-64.5513648212963</v>
      </c>
      <c r="AS419" t="str">
        <f t="shared" si="380"/>
        <v>-0,000100699300699301</v>
      </c>
      <c r="AT419" t="str">
        <f t="shared" si="381"/>
        <v>0,144471752431039i</v>
      </c>
      <c r="AU419">
        <f t="shared" si="405"/>
        <v>0.144471752431039</v>
      </c>
      <c r="AV419">
        <f t="shared" si="406"/>
        <v>1.5707963267949</v>
      </c>
      <c r="AW419" t="str">
        <f t="shared" si="382"/>
        <v>1+7,39668873702219i</v>
      </c>
      <c r="AX419">
        <f t="shared" si="407"/>
        <v>7.46398045766406</v>
      </c>
      <c r="AY419">
        <f t="shared" si="408"/>
        <v>1.4364154745348</v>
      </c>
      <c r="AZ419" t="str">
        <f t="shared" si="383"/>
        <v>1+353,624672172103i</v>
      </c>
      <c r="BA419">
        <f t="shared" si="409"/>
        <v>353.62608609777</v>
      </c>
      <c r="BB419">
        <f t="shared" si="410"/>
        <v>1.56796847734571</v>
      </c>
      <c r="BC419" s="30" t="str">
        <f t="shared" si="411"/>
        <v>-0,00433176305345755+0,0327377202190036i</v>
      </c>
      <c r="BD419" s="32">
        <f t="shared" si="412"/>
        <v>-29.6236537097164</v>
      </c>
      <c r="BE419" s="31">
        <f t="shared" si="413"/>
        <v>97.5374318433375</v>
      </c>
      <c r="BF419" s="30" t="str">
        <f t="shared" si="414"/>
        <v>0,0294067797469148-0,0821142960965071i</v>
      </c>
      <c r="BG419" s="68">
        <f t="shared" si="415"/>
        <v>-21.187571073851</v>
      </c>
      <c r="BH419" s="31">
        <f t="shared" si="416"/>
        <v>-70.296533466442</v>
      </c>
      <c r="BI419" s="30" t="str">
        <f t="shared" si="369"/>
        <v>0,328867678166855+0,213455485508069i</v>
      </c>
      <c r="BJ419" s="68">
        <f t="shared" si="417"/>
        <v>-8.1327755177505</v>
      </c>
      <c r="BK419" s="31">
        <f t="shared" si="370"/>
        <v>32.9860670220412</v>
      </c>
      <c r="BL419" s="32">
        <f t="shared" si="418"/>
        <v>-21.187571073851</v>
      </c>
      <c r="BM419" s="31">
        <f t="shared" si="419"/>
        <v>-70.296533466442</v>
      </c>
      <c r="BO419">
        <f t="shared" si="420"/>
        <v>0</v>
      </c>
      <c r="BP419">
        <f t="shared" si="421"/>
        <v>0</v>
      </c>
    </row>
    <row r="420" spans="14:68">
      <c r="N420" s="7">
        <v>2</v>
      </c>
      <c r="O420" s="18">
        <f t="shared" ref="O420:O483" si="422">10^(5+(N420/100))</f>
        <v>104712.85480509</v>
      </c>
      <c r="P420" s="86" t="str">
        <f t="shared" si="372"/>
        <v>60</v>
      </c>
      <c r="Q420" s="4" t="str">
        <f t="shared" si="373"/>
        <v>1+859,69555382465i</v>
      </c>
      <c r="R420" s="4">
        <f t="shared" si="384"/>
        <v>859.696135425693</v>
      </c>
      <c r="S420" s="4">
        <f t="shared" si="385"/>
        <v>1.56963312483981</v>
      </c>
      <c r="T420" s="4" t="str">
        <f t="shared" si="374"/>
        <v>1+10,3163466458958i</v>
      </c>
      <c r="U420" s="4">
        <f t="shared" si="386"/>
        <v>10.3647000978458</v>
      </c>
      <c r="V420" s="4">
        <f t="shared" si="387"/>
        <v>1.47416468607041</v>
      </c>
      <c r="W420" t="str">
        <f t="shared" si="375"/>
        <v>1-14,3922246734037i</v>
      </c>
      <c r="X420" s="4">
        <f t="shared" si="388"/>
        <v>14.4269238249091</v>
      </c>
      <c r="Y420" s="4">
        <f t="shared" si="389"/>
        <v>-1.50142585625219</v>
      </c>
      <c r="Z420" t="str">
        <f t="shared" si="376"/>
        <v>0,910491575825045+3,84016443763823i</v>
      </c>
      <c r="AA420" s="4">
        <f t="shared" si="390"/>
        <v>3.94662613098197</v>
      </c>
      <c r="AB420" s="4">
        <f t="shared" si="391"/>
        <v>1.33799801606</v>
      </c>
      <c r="AC420" s="67" t="str">
        <f t="shared" si="392"/>
        <v>-2,58801219288036-0,542693983599009i</v>
      </c>
      <c r="AD420" s="68">
        <f t="shared" si="393"/>
        <v>8.44621535736265</v>
      </c>
      <c r="AE420" s="31">
        <f t="shared" si="394"/>
        <v>-168.156942750372</v>
      </c>
      <c r="AF420" s="32" t="str">
        <f t="shared" si="395"/>
        <v>326,048966736478</v>
      </c>
      <c r="AG420" s="32" t="str">
        <f t="shared" si="377"/>
        <v>1+552,661427458704i</v>
      </c>
      <c r="AH420" s="32">
        <f t="shared" si="396"/>
        <v>552.662332171003</v>
      </c>
      <c r="AI420" s="32">
        <f t="shared" si="397"/>
        <v>1.56898690269005</v>
      </c>
      <c r="AJ420" s="32" t="str">
        <f t="shared" si="378"/>
        <v>1+10,3163466458958i</v>
      </c>
      <c r="AK420" s="32">
        <f t="shared" si="398"/>
        <v>10.3647000978458</v>
      </c>
      <c r="AL420" s="32">
        <f t="shared" si="399"/>
        <v>1.47416468607041</v>
      </c>
      <c r="AM420" s="32" t="str">
        <f t="shared" si="379"/>
        <v>1-1,70255632618855i</v>
      </c>
      <c r="AN420" s="32">
        <f t="shared" si="400"/>
        <v>1.97451210273441</v>
      </c>
      <c r="AO420" s="32">
        <f t="shared" si="401"/>
        <v>-1.0397286793772</v>
      </c>
      <c r="AP420" s="30" t="str">
        <f t="shared" si="402"/>
        <v>5,10160507472771-10,9429095043533i</v>
      </c>
      <c r="AQ420" s="32">
        <f t="shared" si="403"/>
        <v>21.6367900656682</v>
      </c>
      <c r="AR420" s="31">
        <f t="shared" si="404"/>
        <v>-65.0049779834047</v>
      </c>
      <c r="AS420" t="str">
        <f t="shared" si="380"/>
        <v>-0,000100699300699301</v>
      </c>
      <c r="AT420" t="str">
        <f t="shared" si="381"/>
        <v>0,147836931845203i</v>
      </c>
      <c r="AU420">
        <f t="shared" si="405"/>
        <v>0.147836931845203</v>
      </c>
      <c r="AV420">
        <f t="shared" si="406"/>
        <v>1.5707963267949</v>
      </c>
      <c r="AW420" t="str">
        <f t="shared" si="382"/>
        <v>1+7,56897975067682i</v>
      </c>
      <c r="AX420">
        <f t="shared" si="407"/>
        <v>7.63475307172116</v>
      </c>
      <c r="AY420">
        <f t="shared" si="408"/>
        <v>1.43943888978084</v>
      </c>
      <c r="AZ420" t="str">
        <f t="shared" si="383"/>
        <v>1+361,861648931294i</v>
      </c>
      <c r="BA420">
        <f t="shared" si="409"/>
        <v>361.863030672208</v>
      </c>
      <c r="BB420">
        <f t="shared" si="410"/>
        <v>1.56803284672635</v>
      </c>
      <c r="BC420" s="30" t="str">
        <f t="shared" si="411"/>
        <v>-0,00414014631271385+0,0320178347866185i</v>
      </c>
      <c r="BD420" s="32">
        <f t="shared" si="412"/>
        <v>-29.8201453071072</v>
      </c>
      <c r="BE420" s="31">
        <f t="shared" si="413"/>
        <v>97.3678910038649</v>
      </c>
      <c r="BF420" s="30" t="str">
        <f t="shared" si="414"/>
        <v>0,028090635444177-0,0806157143222682i</v>
      </c>
      <c r="BG420" s="68">
        <f t="shared" si="415"/>
        <v>-21.3739299497446</v>
      </c>
      <c r="BH420" s="31">
        <f t="shared" si="416"/>
        <v>-70.7890517465069</v>
      </c>
      <c r="BI420" s="30" t="str">
        <f t="shared" si="369"/>
        <v>0,329246877156245+0,208647594864016i</v>
      </c>
      <c r="BJ420" s="68">
        <f t="shared" si="417"/>
        <v>-8.18335524143908</v>
      </c>
      <c r="BK420" s="31">
        <f t="shared" si="370"/>
        <v>32.3629130204601</v>
      </c>
      <c r="BL420" s="32">
        <f t="shared" si="418"/>
        <v>-21.3739299497446</v>
      </c>
      <c r="BM420" s="31">
        <f t="shared" si="419"/>
        <v>-70.7890517465069</v>
      </c>
      <c r="BO420">
        <f t="shared" si="420"/>
        <v>0</v>
      </c>
      <c r="BP420">
        <f t="shared" si="421"/>
        <v>0</v>
      </c>
    </row>
    <row r="421" spans="14:68">
      <c r="N421" s="7">
        <v>3</v>
      </c>
      <c r="O421" s="18">
        <f t="shared" si="422"/>
        <v>107151.930523761</v>
      </c>
      <c r="P421" s="86" t="str">
        <f t="shared" si="372"/>
        <v>60</v>
      </c>
      <c r="Q421" s="4" t="str">
        <f t="shared" si="373"/>
        <v>1+879,720435723688i</v>
      </c>
      <c r="R421" s="4">
        <f t="shared" si="384"/>
        <v>879.721004085884</v>
      </c>
      <c r="S421" s="4">
        <f t="shared" si="385"/>
        <v>1.56965960252582</v>
      </c>
      <c r="T421" s="4" t="str">
        <f t="shared" si="374"/>
        <v>1+10,5566452286843i</v>
      </c>
      <c r="U421" s="4">
        <f t="shared" si="386"/>
        <v>10.6039029835388</v>
      </c>
      <c r="V421" s="4">
        <f t="shared" si="387"/>
        <v>1.4763510833056</v>
      </c>
      <c r="W421" t="str">
        <f t="shared" si="375"/>
        <v>1-14,7274626516243i</v>
      </c>
      <c r="X421" s="4">
        <f t="shared" si="388"/>
        <v>14.7613737895559</v>
      </c>
      <c r="Y421" s="4">
        <f t="shared" si="389"/>
        <v>-1.50300003076252</v>
      </c>
      <c r="Z421" t="str">
        <f t="shared" si="376"/>
        <v>0,906273173755355+3,92961335824097i</v>
      </c>
      <c r="AA421" s="4">
        <f t="shared" si="390"/>
        <v>4.03276483454397</v>
      </c>
      <c r="AB421" s="4">
        <f t="shared" si="391"/>
        <v>1.34413294903833</v>
      </c>
      <c r="AC421" s="67" t="str">
        <f t="shared" si="392"/>
        <v>-2,59387982757634-0,528914852530401i</v>
      </c>
      <c r="AD421" s="68">
        <f t="shared" si="393"/>
        <v>8.45591830034596</v>
      </c>
      <c r="AE421" s="31">
        <f t="shared" si="394"/>
        <v>-168.474887799028</v>
      </c>
      <c r="AF421" s="32" t="str">
        <f t="shared" si="395"/>
        <v>326,048966736478</v>
      </c>
      <c r="AG421" s="32" t="str">
        <f t="shared" si="377"/>
        <v>1+565,534565822372i</v>
      </c>
      <c r="AH421" s="32">
        <f t="shared" si="396"/>
        <v>565.535449940938</v>
      </c>
      <c r="AI421" s="32">
        <f t="shared" si="397"/>
        <v>1.5690280901243</v>
      </c>
      <c r="AJ421" s="32" t="str">
        <f t="shared" si="378"/>
        <v>1+10,5566452286843i</v>
      </c>
      <c r="AK421" s="32">
        <f t="shared" si="398"/>
        <v>10.6039029835388</v>
      </c>
      <c r="AL421" s="32">
        <f t="shared" si="399"/>
        <v>1.4763510833056</v>
      </c>
      <c r="AM421" s="32" t="str">
        <f t="shared" si="379"/>
        <v>1-1,74221395755201i</v>
      </c>
      <c r="AN421" s="32">
        <f t="shared" si="400"/>
        <v>2.00880797337352</v>
      </c>
      <c r="AO421" s="32">
        <f t="shared" si="401"/>
        <v>-1.04972720085875</v>
      </c>
      <c r="AP421" s="30" t="str">
        <f t="shared" si="402"/>
        <v>5,10155778158188-11,1710567022697i</v>
      </c>
      <c r="AQ421" s="32">
        <f t="shared" si="403"/>
        <v>21.7845432811508</v>
      </c>
      <c r="AR421" s="31">
        <f t="shared" si="404"/>
        <v>-65.4549395979045</v>
      </c>
      <c r="AS421" t="str">
        <f t="shared" si="380"/>
        <v>-0,000100699300699301</v>
      </c>
      <c r="AT421" t="str">
        <f t="shared" si="381"/>
        <v>0,151280496357484i</v>
      </c>
      <c r="AU421">
        <f t="shared" si="405"/>
        <v>0.151280496357484</v>
      </c>
      <c r="AV421">
        <f t="shared" si="406"/>
        <v>1.5707963267949</v>
      </c>
      <c r="AW421" t="str">
        <f t="shared" si="382"/>
        <v>1+7,74528393758255i</v>
      </c>
      <c r="AX421">
        <f t="shared" si="407"/>
        <v>7.80957254104053</v>
      </c>
      <c r="AY421">
        <f t="shared" si="408"/>
        <v>1.44239581948677</v>
      </c>
      <c r="AZ421" t="str">
        <f t="shared" si="383"/>
        <v>1+370,290489526552i</v>
      </c>
      <c r="BA421">
        <f t="shared" si="409"/>
        <v>370.291839815319</v>
      </c>
      <c r="BB421">
        <f t="shared" si="410"/>
        <v>1.56809575090314</v>
      </c>
      <c r="BC421" s="30" t="str">
        <f t="shared" si="411"/>
        <v>-0,00395686427292266+0,0313126835832849i</v>
      </c>
      <c r="BD421" s="32">
        <f t="shared" si="412"/>
        <v>-30.0167921584364</v>
      </c>
      <c r="BE421" s="31">
        <f t="shared" si="413"/>
        <v>97.2020755552416</v>
      </c>
      <c r="BF421" s="30" t="str">
        <f t="shared" si="414"/>
        <v>0,0268253738377759-0,0791284940105678i</v>
      </c>
      <c r="BG421" s="68">
        <f t="shared" si="415"/>
        <v>-21.5608738580904</v>
      </c>
      <c r="BH421" s="31">
        <f t="shared" si="416"/>
        <v>-71.2728122437867</v>
      </c>
      <c r="BI421" s="30" t="str">
        <f t="shared" si="369"/>
        <v>0,329609592086913+0,203945819752522i</v>
      </c>
      <c r="BJ421" s="68">
        <f t="shared" si="417"/>
        <v>-8.2322488772856</v>
      </c>
      <c r="BK421" s="31">
        <f t="shared" si="370"/>
        <v>31.7471359573371</v>
      </c>
      <c r="BL421" s="32">
        <f t="shared" si="418"/>
        <v>-21.5608738580904</v>
      </c>
      <c r="BM421" s="31">
        <f t="shared" si="419"/>
        <v>-71.2728122437867</v>
      </c>
      <c r="BO421">
        <f t="shared" si="420"/>
        <v>0</v>
      </c>
      <c r="BP421">
        <f t="shared" si="421"/>
        <v>0</v>
      </c>
    </row>
    <row r="422" spans="14:68">
      <c r="N422" s="7">
        <v>4</v>
      </c>
      <c r="O422" s="18">
        <f t="shared" si="422"/>
        <v>109647.819614319</v>
      </c>
      <c r="P422" s="86" t="str">
        <f t="shared" si="372"/>
        <v>60</v>
      </c>
      <c r="Q422" s="4" t="str">
        <f t="shared" si="373"/>
        <v>1+900,211757042223i</v>
      </c>
      <c r="R422" s="4">
        <f t="shared" si="384"/>
        <v>900.212312466924</v>
      </c>
      <c r="S422" s="4">
        <f t="shared" si="385"/>
        <v>1.56968547750766</v>
      </c>
      <c r="T422" s="4" t="str">
        <f t="shared" si="374"/>
        <v>1+10,8025410845067i</v>
      </c>
      <c r="U422" s="4">
        <f t="shared" si="386"/>
        <v>10.8487277540943</v>
      </c>
      <c r="V422" s="4">
        <f t="shared" si="387"/>
        <v>1.47848858753972</v>
      </c>
      <c r="W422" t="str">
        <f t="shared" si="375"/>
        <v>1-15,0705093254837i</v>
      </c>
      <c r="X422" s="4">
        <f t="shared" si="388"/>
        <v>15.1036502650681</v>
      </c>
      <c r="Y422" s="4">
        <f t="shared" si="389"/>
        <v>-1.50453869792666</v>
      </c>
      <c r="Z422" t="str">
        <f t="shared" si="376"/>
        <v>0,901855964521026+4,02114581186084i</v>
      </c>
      <c r="AA422" s="4">
        <f t="shared" si="390"/>
        <v>4.12103843963971</v>
      </c>
      <c r="AB422" s="4">
        <f t="shared" si="391"/>
        <v>1.35016886340876</v>
      </c>
      <c r="AC422" s="67" t="str">
        <f t="shared" si="392"/>
        <v>-2,59950908256532-0,515287564511948i</v>
      </c>
      <c r="AD422" s="68">
        <f t="shared" si="393"/>
        <v>8.46520735605527</v>
      </c>
      <c r="AE422" s="31">
        <f t="shared" si="394"/>
        <v>-168.787891908485</v>
      </c>
      <c r="AF422" s="32" t="str">
        <f t="shared" si="395"/>
        <v>326,048966736478</v>
      </c>
      <c r="AG422" s="32" t="str">
        <f t="shared" si="377"/>
        <v>1+578,707558098573i</v>
      </c>
      <c r="AH422" s="32">
        <f t="shared" si="396"/>
        <v>578.708422092174</v>
      </c>
      <c r="AI422" s="32">
        <f t="shared" si="397"/>
        <v>1.56906834002387</v>
      </c>
      <c r="AJ422" s="32" t="str">
        <f t="shared" si="378"/>
        <v>1+10,8025410845067i</v>
      </c>
      <c r="AK422" s="32">
        <f t="shared" si="398"/>
        <v>10.8487277540943</v>
      </c>
      <c r="AL422" s="32">
        <f t="shared" si="399"/>
        <v>1.47848858753972</v>
      </c>
      <c r="AM422" s="32" t="str">
        <f t="shared" si="379"/>
        <v>1-1,7827953338167i</v>
      </c>
      <c r="AN422" s="32">
        <f t="shared" si="400"/>
        <v>2.04410352044083</v>
      </c>
      <c r="AO422" s="32">
        <f t="shared" si="401"/>
        <v>-1.05961028588671</v>
      </c>
      <c r="AP422" s="30" t="str">
        <f t="shared" si="402"/>
        <v>5,10151261696521-11,4051269347867i</v>
      </c>
      <c r="AQ422" s="32">
        <f t="shared" si="403"/>
        <v>21.934094449171</v>
      </c>
      <c r="AR422" s="31">
        <f t="shared" si="404"/>
        <v>-65.9010348366405</v>
      </c>
      <c r="AS422" t="str">
        <f t="shared" si="380"/>
        <v>-0,000100699300699301</v>
      </c>
      <c r="AT422" t="str">
        <f t="shared" si="381"/>
        <v>0,154804271791368i</v>
      </c>
      <c r="AU422">
        <f t="shared" si="405"/>
        <v>0.154804271791368</v>
      </c>
      <c r="AV422">
        <f t="shared" si="406"/>
        <v>1.5707963267949</v>
      </c>
      <c r="AW422" t="str">
        <f t="shared" si="382"/>
        <v>1+7,92569477655292i</v>
      </c>
      <c r="AX422">
        <f t="shared" si="407"/>
        <v>7.98853163548084</v>
      </c>
      <c r="AY422">
        <f t="shared" si="408"/>
        <v>1.44528762451635</v>
      </c>
      <c r="AZ422" t="str">
        <f t="shared" si="383"/>
        <v>1+378,915663040731i</v>
      </c>
      <c r="BA422">
        <f t="shared" si="409"/>
        <v>378.916982593281</v>
      </c>
      <c r="BB422">
        <f t="shared" si="410"/>
        <v>1.5681572232267</v>
      </c>
      <c r="BC422" s="30" t="str">
        <f t="shared" si="411"/>
        <v>-0,00378156666834072+0,0306220375181241i</v>
      </c>
      <c r="BD422" s="32">
        <f t="shared" si="412"/>
        <v>-30.213587505574</v>
      </c>
      <c r="BE422" s="31">
        <f t="shared" si="413"/>
        <v>97.0399094365689</v>
      </c>
      <c r="BF422" s="30" t="str">
        <f t="shared" si="414"/>
        <v>0,0256093720337856-0,0776536703764508i</v>
      </c>
      <c r="BG422" s="68">
        <f t="shared" si="415"/>
        <v>-21.7483801495187</v>
      </c>
      <c r="BH422" s="31">
        <f t="shared" si="416"/>
        <v>-71.7479824719162</v>
      </c>
      <c r="BI422" s="30" t="str">
        <f t="shared" si="369"/>
        <v>0,329956514825571+0,199347958620677i</v>
      </c>
      <c r="BJ422" s="68">
        <f t="shared" si="417"/>
        <v>-8.27949305640291</v>
      </c>
      <c r="BK422" s="31">
        <f t="shared" si="370"/>
        <v>31.1388745999284</v>
      </c>
      <c r="BL422" s="32">
        <f t="shared" si="418"/>
        <v>-21.7483801495187</v>
      </c>
      <c r="BM422" s="31">
        <f t="shared" si="419"/>
        <v>-71.7479824719162</v>
      </c>
      <c r="BO422">
        <f t="shared" si="420"/>
        <v>0</v>
      </c>
      <c r="BP422">
        <f t="shared" si="421"/>
        <v>0</v>
      </c>
    </row>
    <row r="423" spans="14:68">
      <c r="N423" s="7">
        <v>5</v>
      </c>
      <c r="O423" s="18">
        <f t="shared" si="422"/>
        <v>112201.845430197</v>
      </c>
      <c r="P423" s="86" t="str">
        <f t="shared" si="372"/>
        <v>60</v>
      </c>
      <c r="Q423" s="4" t="str">
        <f t="shared" si="373"/>
        <v>1+921,180382550053i</v>
      </c>
      <c r="R423" s="4">
        <f t="shared" si="384"/>
        <v>921.180925331751</v>
      </c>
      <c r="S423" s="4">
        <f t="shared" si="385"/>
        <v>1.56971076350444</v>
      </c>
      <c r="T423" s="4" t="str">
        <f t="shared" si="374"/>
        <v>1+11,0541645906006i</v>
      </c>
      <c r="U423" s="4">
        <f t="shared" si="386"/>
        <v>11.0993042482891</v>
      </c>
      <c r="V423" s="4">
        <f t="shared" si="387"/>
        <v>1.48057825393395</v>
      </c>
      <c r="W423" t="str">
        <f t="shared" si="375"/>
        <v>1-15,4215465828692i</v>
      </c>
      <c r="X423" s="4">
        <f t="shared" si="388"/>
        <v>15.4539347419227</v>
      </c>
      <c r="Y423" s="4">
        <f t="shared" si="389"/>
        <v>-1.50604264440761</v>
      </c>
      <c r="Z423" t="str">
        <f t="shared" si="376"/>
        <v>0,897230578629046+4,1148103302163i</v>
      </c>
      <c r="AA423" s="4">
        <f t="shared" si="390"/>
        <v>4.21149459988753</v>
      </c>
      <c r="AB423" s="4">
        <f t="shared" si="391"/>
        <v>1.35610764298113</v>
      </c>
      <c r="AC423" s="67" t="str">
        <f t="shared" si="392"/>
        <v>-2,60490779143197-0,501812495070916i</v>
      </c>
      <c r="AD423" s="68">
        <f t="shared" si="393"/>
        <v>8.47409791746143</v>
      </c>
      <c r="AE423" s="31">
        <f t="shared" si="394"/>
        <v>-169.096048415329</v>
      </c>
      <c r="AF423" s="32" t="str">
        <f t="shared" si="395"/>
        <v>326,048966736478</v>
      </c>
      <c r="AG423" s="32" t="str">
        <f t="shared" si="377"/>
        <v>1+592,187388782177i</v>
      </c>
      <c r="AH423" s="32">
        <f t="shared" si="396"/>
        <v>592.18823310891</v>
      </c>
      <c r="AI423" s="32">
        <f t="shared" si="397"/>
        <v>1.56910767372929</v>
      </c>
      <c r="AJ423" s="32" t="str">
        <f t="shared" si="378"/>
        <v>1+11,0541645906006i</v>
      </c>
      <c r="AK423" s="32">
        <f t="shared" si="398"/>
        <v>11.0993042482891</v>
      </c>
      <c r="AL423" s="32">
        <f t="shared" si="399"/>
        <v>1.48057825393395</v>
      </c>
      <c r="AM423" s="32" t="str">
        <f t="shared" si="379"/>
        <v>1-1,82432197176545i</v>
      </c>
      <c r="AN423" s="32">
        <f t="shared" si="400"/>
        <v>2.08042078836619</v>
      </c>
      <c r="AO423" s="32">
        <f t="shared" si="401"/>
        <v>-1.06937545126798</v>
      </c>
      <c r="AP423" s="30" t="str">
        <f t="shared" si="402"/>
        <v>5,10146948507927-11,645244309542i</v>
      </c>
      <c r="AQ423" s="32">
        <f t="shared" si="403"/>
        <v>22.0853999118693</v>
      </c>
      <c r="AR423" s="31">
        <f t="shared" si="404"/>
        <v>-66.3430621895676</v>
      </c>
      <c r="AS423" t="str">
        <f t="shared" si="380"/>
        <v>-0,000100699300699301</v>
      </c>
      <c r="AT423" t="str">
        <f t="shared" si="381"/>
        <v>0,158410126499232i</v>
      </c>
      <c r="AU423">
        <f t="shared" si="405"/>
        <v>0.158410126499232</v>
      </c>
      <c r="AV423">
        <f t="shared" si="406"/>
        <v>1.5707963267949</v>
      </c>
      <c r="AW423" t="str">
        <f t="shared" si="382"/>
        <v>1+8,11030792380279i</v>
      </c>
      <c r="AX423">
        <f t="shared" si="407"/>
        <v>8.17172531469936</v>
      </c>
      <c r="AY423">
        <f t="shared" si="408"/>
        <v>1.44811564457724</v>
      </c>
      <c r="AZ423" t="str">
        <f t="shared" si="383"/>
        <v>1+387,741742654997i</v>
      </c>
      <c r="BA423">
        <f t="shared" si="409"/>
        <v>387.743032170965</v>
      </c>
      <c r="BB423">
        <f t="shared" si="410"/>
        <v>1.56821729628861</v>
      </c>
      <c r="BC423" s="30" t="str">
        <f t="shared" si="411"/>
        <v>-0,00361391688805013+0,029945666042137i</v>
      </c>
      <c r="BD423" s="32">
        <f t="shared" si="412"/>
        <v>-30.4105248748426</v>
      </c>
      <c r="BE423" s="31">
        <f t="shared" si="413"/>
        <v>96.8813177556118</v>
      </c>
      <c r="BF423" s="30" t="str">
        <f t="shared" si="414"/>
        <v>0,0244410296524345-0,0761921901422111i</v>
      </c>
      <c r="BG423" s="68">
        <f t="shared" si="415"/>
        <v>-21.9364269573812</v>
      </c>
      <c r="BH423" s="31">
        <f t="shared" si="416"/>
        <v>-72.2147306597172</v>
      </c>
      <c r="BI423" s="30" t="str">
        <f t="shared" si="369"/>
        <v>0,330288310346641+0,19485184660006i</v>
      </c>
      <c r="BJ423" s="68">
        <f t="shared" si="417"/>
        <v>-8.32512496297323</v>
      </c>
      <c r="BK423" s="31">
        <f t="shared" si="370"/>
        <v>30.5382555660441</v>
      </c>
      <c r="BL423" s="32">
        <f t="shared" si="418"/>
        <v>-21.9364269573812</v>
      </c>
      <c r="BM423" s="31">
        <f t="shared" si="419"/>
        <v>-72.2147306597172</v>
      </c>
      <c r="BO423">
        <f t="shared" si="420"/>
        <v>0</v>
      </c>
      <c r="BP423">
        <f t="shared" si="421"/>
        <v>0</v>
      </c>
    </row>
    <row r="424" spans="14:68">
      <c r="N424" s="7">
        <v>6</v>
      </c>
      <c r="O424" s="18">
        <f t="shared" si="422"/>
        <v>114815.362149688</v>
      </c>
      <c r="P424" s="86" t="str">
        <f t="shared" si="372"/>
        <v>60</v>
      </c>
      <c r="Q424" s="4" t="str">
        <f t="shared" si="373"/>
        <v>1+942,637430089966i</v>
      </c>
      <c r="R424" s="4">
        <f t="shared" si="384"/>
        <v>942.637960516452</v>
      </c>
      <c r="S424" s="4">
        <f t="shared" si="385"/>
        <v>1.569735473923</v>
      </c>
      <c r="T424" s="4" t="str">
        <f t="shared" si="374"/>
        <v>1+11,3116491610796i</v>
      </c>
      <c r="U424" s="4">
        <f t="shared" si="386"/>
        <v>11.3557653526019</v>
      </c>
      <c r="V424" s="4">
        <f t="shared" si="387"/>
        <v>1.48262111741706</v>
      </c>
      <c r="W424" t="str">
        <f t="shared" si="375"/>
        <v>1-15,7807605483811i</v>
      </c>
      <c r="X424" s="4">
        <f t="shared" si="388"/>
        <v>15.8124129558186</v>
      </c>
      <c r="Y424" s="4">
        <f t="shared" si="389"/>
        <v>-1.50751264038869</v>
      </c>
      <c r="Z424" t="str">
        <f t="shared" si="376"/>
        <v>0,892387205015804+4,21065657547476i</v>
      </c>
      <c r="AA424" s="4">
        <f t="shared" si="390"/>
        <v>4.30418211978359</v>
      </c>
      <c r="AB424" s="4">
        <f t="shared" si="391"/>
        <v>1.36195119770107</v>
      </c>
      <c r="AC424" s="67" t="str">
        <f t="shared" si="392"/>
        <v>-2,61008361927459-0,488489694133101i</v>
      </c>
      <c r="AD424" s="68">
        <f t="shared" si="393"/>
        <v>8.48260488248882</v>
      </c>
      <c r="AE424" s="31">
        <f t="shared" si="394"/>
        <v>-169.399452350743</v>
      </c>
      <c r="AF424" s="32" t="str">
        <f t="shared" si="395"/>
        <v>326,048966736478</v>
      </c>
      <c r="AG424" s="32" t="str">
        <f t="shared" si="377"/>
        <v>1+605,981205057836i</v>
      </c>
      <c r="AH424" s="32">
        <f t="shared" si="396"/>
        <v>605.982030165373</v>
      </c>
      <c r="AI424" s="32">
        <f t="shared" si="397"/>
        <v>1.5691461120953</v>
      </c>
      <c r="AJ424" s="32" t="str">
        <f t="shared" si="378"/>
        <v>1+11,3116491610796i</v>
      </c>
      <c r="AK424" s="32">
        <f t="shared" si="398"/>
        <v>11.3557653526019</v>
      </c>
      <c r="AL424" s="32">
        <f t="shared" si="399"/>
        <v>1.48262111741706</v>
      </c>
      <c r="AM424" s="32" t="str">
        <f t="shared" si="379"/>
        <v>1-1,86681588937138i</v>
      </c>
      <c r="AN424" s="32">
        <f t="shared" si="400"/>
        <v>2.11778222790009</v>
      </c>
      <c r="AO424" s="32">
        <f t="shared" si="401"/>
        <v>-1.07902042436732</v>
      </c>
      <c r="AP424" s="30" t="str">
        <f t="shared" si="402"/>
        <v>5,10142829443718-11,8915361404155i</v>
      </c>
      <c r="AQ424" s="32">
        <f t="shared" si="403"/>
        <v>22.2384158387756</v>
      </c>
      <c r="AR424" s="31">
        <f t="shared" si="404"/>
        <v>-66.7808333421181</v>
      </c>
      <c r="AS424" t="str">
        <f t="shared" si="380"/>
        <v>-0,000100699300699301</v>
      </c>
      <c r="AT424" t="str">
        <f t="shared" si="381"/>
        <v>0,162099972352971i</v>
      </c>
      <c r="AU424">
        <f t="shared" si="405"/>
        <v>0.162099972352971</v>
      </c>
      <c r="AV424">
        <f t="shared" si="406"/>
        <v>1.5707963267949</v>
      </c>
      <c r="AW424" t="str">
        <f t="shared" si="382"/>
        <v>1+8,29922126366639i</v>
      </c>
      <c r="AX424">
        <f t="shared" si="407"/>
        <v>8.35925077882536</v>
      </c>
      <c r="AY424">
        <f t="shared" si="408"/>
        <v>1.45088119808521</v>
      </c>
      <c r="AZ424" t="str">
        <f t="shared" si="383"/>
        <v>1+396,773408073582i</v>
      </c>
      <c r="BA424">
        <f t="shared" si="409"/>
        <v>396.774668236677</v>
      </c>
      <c r="BB424">
        <f t="shared" si="410"/>
        <v>1.56827600193868</v>
      </c>
      <c r="BC424" s="30" t="str">
        <f t="shared" si="411"/>
        <v>-0,00345359153729439+0,0292833375825054i</v>
      </c>
      <c r="BD424" s="32">
        <f t="shared" si="412"/>
        <v>-30.6075980658888</v>
      </c>
      <c r="BE424" s="31">
        <f t="shared" si="413"/>
        <v>96.7262267975702</v>
      </c>
      <c r="BF424" s="30" t="str">
        <f t="shared" si="414"/>
        <v>0,0233187713180318-0,0747449158680717i</v>
      </c>
      <c r="BG424" s="68">
        <f t="shared" si="415"/>
        <v>-22.1249931834</v>
      </c>
      <c r="BH424" s="31">
        <f t="shared" si="416"/>
        <v>-72.6732255531725</v>
      </c>
      <c r="BI424" s="30" t="str">
        <f t="shared" si="369"/>
        <v>0,330605617588568+0,190455355478918i</v>
      </c>
      <c r="BJ424" s="68">
        <f t="shared" si="417"/>
        <v>-8.36918222711322</v>
      </c>
      <c r="BK424" s="31">
        <f t="shared" si="370"/>
        <v>29.945393455452</v>
      </c>
      <c r="BL424" s="32">
        <f t="shared" si="418"/>
        <v>-22.1249931834</v>
      </c>
      <c r="BM424" s="31">
        <f t="shared" si="419"/>
        <v>-72.6732255531725</v>
      </c>
      <c r="BO424">
        <f t="shared" si="420"/>
        <v>0</v>
      </c>
      <c r="BP424">
        <f t="shared" si="421"/>
        <v>0</v>
      </c>
    </row>
    <row r="425" spans="14:68">
      <c r="N425" s="7">
        <v>7</v>
      </c>
      <c r="O425" s="18">
        <f t="shared" si="422"/>
        <v>117489.755493953</v>
      </c>
      <c r="P425" s="86" t="str">
        <f t="shared" si="372"/>
        <v>60</v>
      </c>
      <c r="Q425" s="4" t="str">
        <f t="shared" si="373"/>
        <v>1+964,594276472604i</v>
      </c>
      <c r="R425" s="4">
        <f t="shared" si="384"/>
        <v>964.594794825115</v>
      </c>
      <c r="S425" s="4">
        <f t="shared" si="385"/>
        <v>1.56975962186502</v>
      </c>
      <c r="T425" s="4" t="str">
        <f t="shared" si="374"/>
        <v>1+11,5751313176713i</v>
      </c>
      <c r="U425" s="4">
        <f t="shared" si="386"/>
        <v>11.6182470717977</v>
      </c>
      <c r="V425" s="4">
        <f t="shared" si="387"/>
        <v>1.48461819290084</v>
      </c>
      <c r="W425" t="str">
        <f t="shared" si="375"/>
        <v>1-16,1483416820191i</v>
      </c>
      <c r="X425" s="4">
        <f t="shared" si="388"/>
        <v>16.1792749862049</v>
      </c>
      <c r="Y425" s="4">
        <f t="shared" si="389"/>
        <v>-1.50894943985495</v>
      </c>
      <c r="Z425" t="str">
        <f t="shared" si="376"/>
        <v>0,887315570236498+4,30873536658422i</v>
      </c>
      <c r="AA425" s="4">
        <f t="shared" si="390"/>
        <v>4.39915098404656</v>
      </c>
      <c r="AB425" s="4">
        <f t="shared" si="391"/>
        <v>1.36770146046315</v>
      </c>
      <c r="AC425" s="67" t="str">
        <f t="shared" si="392"/>
        <v>-2,61504405557378-0,475318903811381i</v>
      </c>
      <c r="AD425" s="68">
        <f t="shared" si="393"/>
        <v>8.49074265831338</v>
      </c>
      <c r="AE425" s="31">
        <f t="shared" si="394"/>
        <v>-169.698200262096</v>
      </c>
      <c r="AF425" s="32" t="str">
        <f t="shared" si="395"/>
        <v>326,048966736478</v>
      </c>
      <c r="AG425" s="32" t="str">
        <f t="shared" si="377"/>
        <v>1+620,096320589532i</v>
      </c>
      <c r="AH425" s="32">
        <f t="shared" si="396"/>
        <v>620.097126915353</v>
      </c>
      <c r="AI425" s="32">
        <f t="shared" si="397"/>
        <v>1.569183675502</v>
      </c>
      <c r="AJ425" s="32" t="str">
        <f t="shared" si="378"/>
        <v>1+11,5751313176713i</v>
      </c>
      <c r="AK425" s="32">
        <f t="shared" si="398"/>
        <v>11.6182470717977</v>
      </c>
      <c r="AL425" s="32">
        <f t="shared" si="399"/>
        <v>1.48461819290084</v>
      </c>
      <c r="AM425" s="32" t="str">
        <f t="shared" si="379"/>
        <v>1-1,9102996174721i</v>
      </c>
      <c r="AN425" s="32">
        <f t="shared" si="400"/>
        <v>2.15621071060183</v>
      </c>
      <c r="AO425" s="32">
        <f t="shared" si="401"/>
        <v>-1.08854314046539</v>
      </c>
      <c r="AP425" s="30" t="str">
        <f t="shared" si="402"/>
        <v>5,10138895766953-12,1441330150335i</v>
      </c>
      <c r="AQ425" s="32">
        <f t="shared" si="403"/>
        <v>22.3930983194379</v>
      </c>
      <c r="AR425" s="31">
        <f t="shared" si="404"/>
        <v>-67.2141730121168</v>
      </c>
      <c r="AS425" t="str">
        <f t="shared" si="380"/>
        <v>-0,000100699300699301</v>
      </c>
      <c r="AT425" t="str">
        <f t="shared" si="381"/>
        <v>0,1658757657577i</v>
      </c>
      <c r="AU425">
        <f t="shared" si="405"/>
        <v>0.1658757657577</v>
      </c>
      <c r="AV425">
        <f t="shared" si="406"/>
        <v>1.5707963267949</v>
      </c>
      <c r="AW425" t="str">
        <f t="shared" si="382"/>
        <v>1+8,49253496049727i</v>
      </c>
      <c r="AX425">
        <f t="shared" si="407"/>
        <v>8.55120752030194</v>
      </c>
      <c r="AY425">
        <f t="shared" si="408"/>
        <v>1.45358558206863</v>
      </c>
      <c r="AZ425" t="str">
        <f t="shared" si="383"/>
        <v>1+406,01544800505i</v>
      </c>
      <c r="BA425">
        <f t="shared" si="409"/>
        <v>406.016679483419</v>
      </c>
      <c r="BB425">
        <f t="shared" si="410"/>
        <v>1.56833337130179</v>
      </c>
      <c r="BC425" s="30" t="str">
        <f t="shared" si="411"/>
        <v>-0,00330028000429079+0,0286348199448112i</v>
      </c>
      <c r="BD425" s="32">
        <f t="shared" si="412"/>
        <v>-30.8048011409166</v>
      </c>
      <c r="BE425" s="31">
        <f t="shared" si="413"/>
        <v>96.5745640315169</v>
      </c>
      <c r="BF425" s="30" t="str">
        <f t="shared" si="414"/>
        <v>0,0222410488339536-0,0733126302051939i</v>
      </c>
      <c r="BG425" s="68">
        <f t="shared" si="415"/>
        <v>-22.3140584826032</v>
      </c>
      <c r="BH425" s="31">
        <f t="shared" si="416"/>
        <v>-73.123636230579</v>
      </c>
      <c r="BI425" s="30" t="str">
        <f t="shared" si="369"/>
        <v>0,330909050300215+0,186156393630278i</v>
      </c>
      <c r="BJ425" s="68">
        <f t="shared" si="417"/>
        <v>-8.41170282147872</v>
      </c>
      <c r="BK425" s="31">
        <f t="shared" si="370"/>
        <v>29.3603910194001</v>
      </c>
      <c r="BL425" s="32">
        <f t="shared" si="418"/>
        <v>-22.3140584826032</v>
      </c>
      <c r="BM425" s="31">
        <f t="shared" si="419"/>
        <v>-73.123636230579</v>
      </c>
      <c r="BO425">
        <f t="shared" si="420"/>
        <v>0</v>
      </c>
      <c r="BP425">
        <f t="shared" si="421"/>
        <v>0</v>
      </c>
    </row>
    <row r="426" spans="14:68">
      <c r="N426" s="7">
        <v>8</v>
      </c>
      <c r="O426" s="18">
        <f t="shared" si="422"/>
        <v>120226.443461741</v>
      </c>
      <c r="P426" s="86" t="str">
        <f t="shared" si="372"/>
        <v>60</v>
      </c>
      <c r="Q426" s="4" t="str">
        <f t="shared" si="373"/>
        <v>1+987,062563508537i</v>
      </c>
      <c r="R426" s="4">
        <f t="shared" si="384"/>
        <v>987.063070061911</v>
      </c>
      <c r="S426" s="4">
        <f t="shared" si="385"/>
        <v>1.56978322013394</v>
      </c>
      <c r="T426" s="4" t="str">
        <f t="shared" si="374"/>
        <v>1+11,8447507621024i</v>
      </c>
      <c r="U426" s="4">
        <f t="shared" si="386"/>
        <v>11.8868886011574</v>
      </c>
      <c r="V426" s="4">
        <f t="shared" si="387"/>
        <v>1.48657047550616</v>
      </c>
      <c r="W426" t="str">
        <f t="shared" si="375"/>
        <v>1-16,5244848801652i</v>
      </c>
      <c r="X426" s="4">
        <f t="shared" si="388"/>
        <v>16.5547153571062</v>
      </c>
      <c r="Y426" s="4">
        <f t="shared" si="389"/>
        <v>-1.51035378087414</v>
      </c>
      <c r="Z426" t="str">
        <f t="shared" si="376"/>
        <v>0,882004916673802+4,40909870621786i</v>
      </c>
      <c r="AA426" s="4">
        <f t="shared" si="390"/>
        <v>4.49645238762836</v>
      </c>
      <c r="AB426" s="4">
        <f t="shared" si="391"/>
        <v>1.37336038412032</v>
      </c>
      <c r="AC426" s="67" t="str">
        <f t="shared" si="392"/>
        <v>-2,61979640820187-0,462299575702788i</v>
      </c>
      <c r="AD426" s="68">
        <f t="shared" si="393"/>
        <v>8.49852516661081</v>
      </c>
      <c r="AE426" s="31">
        <f t="shared" si="394"/>
        <v>-169.992390045146</v>
      </c>
      <c r="AF426" s="32" t="str">
        <f t="shared" si="395"/>
        <v>326,048966736478</v>
      </c>
      <c r="AG426" s="32" t="str">
        <f t="shared" si="377"/>
        <v>1+634,540219398345i</v>
      </c>
      <c r="AH426" s="32">
        <f t="shared" si="396"/>
        <v>634.541007369973</v>
      </c>
      <c r="AI426" s="32">
        <f t="shared" si="397"/>
        <v>1.56922038386557</v>
      </c>
      <c r="AJ426" s="32" t="str">
        <f t="shared" si="378"/>
        <v>1+11,8447507621024i</v>
      </c>
      <c r="AK426" s="32">
        <f t="shared" si="398"/>
        <v>11.8868886011574</v>
      </c>
      <c r="AL426" s="32">
        <f t="shared" si="399"/>
        <v>1.48657047550616</v>
      </c>
      <c r="AM426" s="32" t="str">
        <f t="shared" si="379"/>
        <v>1-1,9547962117158i</v>
      </c>
      <c r="AN426" s="32">
        <f t="shared" si="400"/>
        <v>2.19572954375953</v>
      </c>
      <c r="AO426" s="32">
        <f t="shared" si="401"/>
        <v>-1.09794173947625</v>
      </c>
      <c r="AP426" s="30" t="str">
        <f t="shared" si="402"/>
        <v>5,10135139133898-12,4031688640108i</v>
      </c>
      <c r="AQ426" s="32">
        <f t="shared" si="403"/>
        <v>22.5494034523303</v>
      </c>
      <c r="AR426" s="31">
        <f t="shared" si="404"/>
        <v>-67.6429187493786</v>
      </c>
      <c r="AS426" t="str">
        <f t="shared" si="380"/>
        <v>-0,000100699300699301</v>
      </c>
      <c r="AT426" t="str">
        <f t="shared" si="381"/>
        <v>0,169739508689057i</v>
      </c>
      <c r="AU426">
        <f t="shared" si="405"/>
        <v>0.169739508689057</v>
      </c>
      <c r="AV426">
        <f t="shared" si="406"/>
        <v>1.5707963267949</v>
      </c>
      <c r="AW426" t="str">
        <f t="shared" si="382"/>
        <v>1+8,69035151177614i</v>
      </c>
      <c r="AX426">
        <f t="shared" si="407"/>
        <v>8.74769737692325</v>
      </c>
      <c r="AY426">
        <f t="shared" si="408"/>
        <v>1.45623007211031</v>
      </c>
      <c r="AZ426" t="str">
        <f t="shared" si="383"/>
        <v>1+415,472762701297i</v>
      </c>
      <c r="BA426">
        <f t="shared" si="409"/>
        <v>415.473966147878</v>
      </c>
      <c r="BB426">
        <f t="shared" si="410"/>
        <v>1.56838943479443</v>
      </c>
      <c r="BC426" s="30" t="str">
        <f t="shared" si="411"/>
        <v>-0,00315368403337996+0,0279998806849221i</v>
      </c>
      <c r="BD426" s="32">
        <f t="shared" si="412"/>
        <v>-31.0021284142762</v>
      </c>
      <c r="BE426" s="31">
        <f t="shared" si="413"/>
        <v>96.426258114677</v>
      </c>
      <c r="BF426" s="30" t="str">
        <f t="shared" si="414"/>
        <v>0,0212063430636206-0,0718960400579076i</v>
      </c>
      <c r="BG426" s="68">
        <f t="shared" si="415"/>
        <v>-22.5036032476654</v>
      </c>
      <c r="BH426" s="31">
        <f t="shared" si="416"/>
        <v>-73.566131930469</v>
      </c>
      <c r="BI426" s="30" t="str">
        <f t="shared" si="369"/>
        <v>0,331199197875717+0,181952905899099i</v>
      </c>
      <c r="BJ426" s="68">
        <f t="shared" si="417"/>
        <v>-8.45272496194588</v>
      </c>
      <c r="BK426" s="31">
        <f t="shared" si="370"/>
        <v>28.7833393652985</v>
      </c>
      <c r="BL426" s="32">
        <f t="shared" si="418"/>
        <v>-22.5036032476654</v>
      </c>
      <c r="BM426" s="31">
        <f t="shared" si="419"/>
        <v>-73.566131930469</v>
      </c>
      <c r="BO426">
        <f t="shared" si="420"/>
        <v>0</v>
      </c>
      <c r="BP426">
        <f t="shared" si="421"/>
        <v>0</v>
      </c>
    </row>
    <row r="427" spans="14:68">
      <c r="N427" s="7">
        <v>9</v>
      </c>
      <c r="O427" s="18">
        <f t="shared" si="422"/>
        <v>123026.877081238</v>
      </c>
      <c r="P427" s="86" t="str">
        <f t="shared" si="372"/>
        <v>60</v>
      </c>
      <c r="Q427" s="4" t="str">
        <f t="shared" si="373"/>
        <v>1+1010,05420418096i</v>
      </c>
      <c r="R427" s="4">
        <f t="shared" si="384"/>
        <v>1010.05469920378</v>
      </c>
      <c r="S427" s="4">
        <f t="shared" si="385"/>
        <v>1.56980628124177</v>
      </c>
      <c r="T427" s="4" t="str">
        <f t="shared" si="374"/>
        <v>1+12,1206504501716i</v>
      </c>
      <c r="U427" s="4">
        <f t="shared" si="386"/>
        <v>12.1618324003928</v>
      </c>
      <c r="V427" s="4">
        <f t="shared" si="387"/>
        <v>1.48847894079847</v>
      </c>
      <c r="W427" t="str">
        <f t="shared" si="375"/>
        <v>1-16,9093895789224i</v>
      </c>
      <c r="X427" s="4">
        <f t="shared" si="388"/>
        <v>16.9389331403064</v>
      </c>
      <c r="Y427" s="4">
        <f t="shared" si="389"/>
        <v>-1.5117263858771</v>
      </c>
      <c r="Z427" t="str">
        <f t="shared" si="376"/>
        <v>0,876443979719493+4,51179980834688i</v>
      </c>
      <c r="AA427" s="4">
        <f t="shared" si="390"/>
        <v>4.59613876641964</v>
      </c>
      <c r="AB427" s="4">
        <f t="shared" si="391"/>
        <v>1.37892993868432</v>
      </c>
      <c r="AC427" s="67" t="str">
        <f t="shared" si="392"/>
        <v>-2,62434779848674-0,449430887656761i</v>
      </c>
      <c r="AD427" s="68">
        <f t="shared" si="393"/>
        <v>8.50596584963868</v>
      </c>
      <c r="AE427" s="31">
        <f t="shared" si="394"/>
        <v>-170.282120786592</v>
      </c>
      <c r="AF427" s="32" t="str">
        <f t="shared" si="395"/>
        <v>326,048966736478</v>
      </c>
      <c r="AG427" s="32" t="str">
        <f t="shared" si="377"/>
        <v>1+649,32055983062i</v>
      </c>
      <c r="AH427" s="32">
        <f t="shared" si="396"/>
        <v>649.321329865845</v>
      </c>
      <c r="AI427" s="32">
        <f t="shared" si="397"/>
        <v>1.56925625664887</v>
      </c>
      <c r="AJ427" s="32" t="str">
        <f t="shared" si="378"/>
        <v>1+12,1206504501716i</v>
      </c>
      <c r="AK427" s="32">
        <f t="shared" si="398"/>
        <v>12.1618324003928</v>
      </c>
      <c r="AL427" s="32">
        <f t="shared" si="399"/>
        <v>1.48847894079847</v>
      </c>
      <c r="AM427" s="32" t="str">
        <f t="shared" si="379"/>
        <v>1-2,00032926478575i</v>
      </c>
      <c r="AN427" s="32">
        <f t="shared" si="400"/>
        <v>2.23636248572504</v>
      </c>
      <c r="AO427" s="32">
        <f t="shared" si="401"/>
        <v>-1.10721456207906</v>
      </c>
      <c r="AP427" s="30" t="str">
        <f t="shared" si="402"/>
        <v>5,10131551576369-12,6687810319649i</v>
      </c>
      <c r="AQ427" s="32">
        <f t="shared" si="403"/>
        <v>22.7072874297469</v>
      </c>
      <c r="AR427" s="31">
        <f t="shared" si="404"/>
        <v>-68.0669207011791</v>
      </c>
      <c r="AS427" t="str">
        <f t="shared" si="380"/>
        <v>-0,000100699300699301</v>
      </c>
      <c r="AT427" t="str">
        <f t="shared" si="381"/>
        <v>0,173693249754691i</v>
      </c>
      <c r="AU427">
        <f t="shared" si="405"/>
        <v>0.173693249754691</v>
      </c>
      <c r="AV427">
        <f t="shared" si="406"/>
        <v>1.5707963267949</v>
      </c>
      <c r="AW427" t="str">
        <f t="shared" si="382"/>
        <v>1+8,892775802457i</v>
      </c>
      <c r="AX427">
        <f t="shared" si="407"/>
        <v>8.94882458609871</v>
      </c>
      <c r="AY427">
        <f t="shared" si="408"/>
        <v>1.45881592232379</v>
      </c>
      <c r="AZ427" t="str">
        <f t="shared" si="383"/>
        <v>1+425,150366555763i</v>
      </c>
      <c r="BA427">
        <f t="shared" si="409"/>
        <v>425.151542608632</v>
      </c>
      <c r="BB427">
        <f t="shared" si="410"/>
        <v>1.5684442221408</v>
      </c>
      <c r="BC427" s="30" t="str">
        <f t="shared" si="411"/>
        <v>-0,00301351730525334+0,0273782874522285i</v>
      </c>
      <c r="BD427" s="32">
        <f t="shared" si="412"/>
        <v>-31.1995744424045</v>
      </c>
      <c r="BE427" s="31">
        <f t="shared" si="413"/>
        <v>96.2812388947097</v>
      </c>
      <c r="BF427" s="30" t="str">
        <f t="shared" si="414"/>
        <v>0,0202131655379203-0,070495780644124i</v>
      </c>
      <c r="BG427" s="68">
        <f t="shared" si="415"/>
        <v>-22.6936085927659</v>
      </c>
      <c r="BH427" s="31">
        <f t="shared" si="416"/>
        <v>-74.0008818918827</v>
      </c>
      <c r="BI427" s="30" t="str">
        <f t="shared" si="369"/>
        <v>0,331476626176164+0,177842873451383i</v>
      </c>
      <c r="BJ427" s="68">
        <f t="shared" si="417"/>
        <v>-8.49228701265763</v>
      </c>
      <c r="BK427" s="31">
        <f t="shared" si="370"/>
        <v>28.2143181935305</v>
      </c>
      <c r="BL427" s="32">
        <f t="shared" si="418"/>
        <v>-22.6936085927659</v>
      </c>
      <c r="BM427" s="31">
        <f t="shared" si="419"/>
        <v>-74.0008818918827</v>
      </c>
      <c r="BO427">
        <f t="shared" si="420"/>
        <v>0</v>
      </c>
      <c r="BP427">
        <f t="shared" si="421"/>
        <v>0</v>
      </c>
    </row>
    <row r="428" spans="14:68">
      <c r="N428" s="7">
        <v>10</v>
      </c>
      <c r="O428" s="18">
        <f t="shared" si="422"/>
        <v>125892.541179417</v>
      </c>
      <c r="P428" s="86" t="str">
        <f t="shared" si="372"/>
        <v>60</v>
      </c>
      <c r="Q428" s="4" t="str">
        <f t="shared" si="373"/>
        <v>1+1033,5813889621i</v>
      </c>
      <c r="R428" s="4">
        <f t="shared" si="384"/>
        <v>1033.58187271683</v>
      </c>
      <c r="S428" s="4">
        <f t="shared" si="385"/>
        <v>1.56982881741571</v>
      </c>
      <c r="T428" s="4" t="str">
        <f t="shared" si="374"/>
        <v>1+12,4029766675452i</v>
      </c>
      <c r="U428" s="4">
        <f t="shared" si="386"/>
        <v>12.4432242692829</v>
      </c>
      <c r="V428" s="4">
        <f t="shared" si="387"/>
        <v>1.4903445450317</v>
      </c>
      <c r="W428" t="str">
        <f t="shared" si="375"/>
        <v>1-17,3032598598566i</v>
      </c>
      <c r="X428" s="4">
        <f t="shared" si="388"/>
        <v>17.332132060936</v>
      </c>
      <c r="Y428" s="4">
        <f t="shared" si="389"/>
        <v>-1.51306796193711</v>
      </c>
      <c r="Z428" t="str">
        <f t="shared" si="376"/>
        <v>0,870620963880724+4,61689312645503i</v>
      </c>
      <c r="AA428" s="4">
        <f t="shared" si="390"/>
        <v>4.69826382867717</v>
      </c>
      <c r="AB428" s="4">
        <f t="shared" si="391"/>
        <v>1.38441210871134</v>
      </c>
      <c r="AC428" s="67" t="str">
        <f t="shared" si="392"/>
        <v>-2,62870515724518-0,436711759984893i</v>
      </c>
      <c r="AD428" s="68">
        <f t="shared" si="393"/>
        <v>8.51307767703991</v>
      </c>
      <c r="AE428" s="31">
        <f t="shared" si="394"/>
        <v>-170.567492616695</v>
      </c>
      <c r="AF428" s="32" t="str">
        <f t="shared" si="395"/>
        <v>326,048966736478</v>
      </c>
      <c r="AG428" s="32" t="str">
        <f t="shared" si="377"/>
        <v>1+664,445178618492i</v>
      </c>
      <c r="AH428" s="32">
        <f t="shared" si="396"/>
        <v>664.445931125596</v>
      </c>
      <c r="AI428" s="32">
        <f t="shared" si="397"/>
        <v>1.56929131287177</v>
      </c>
      <c r="AJ428" s="32" t="str">
        <f t="shared" si="378"/>
        <v>1+12,4029766675452i</v>
      </c>
      <c r="AK428" s="32">
        <f t="shared" si="398"/>
        <v>12.4432242692829</v>
      </c>
      <c r="AL428" s="32">
        <f t="shared" si="399"/>
        <v>1.4903445450317</v>
      </c>
      <c r="AM428" s="32" t="str">
        <f t="shared" si="379"/>
        <v>1-2,04692291890938i</v>
      </c>
      <c r="AN428" s="32">
        <f t="shared" si="400"/>
        <v>2.27813376164713</v>
      </c>
      <c r="AO428" s="32">
        <f t="shared" si="401"/>
        <v>-1.11636014531919</v>
      </c>
      <c r="AP428" s="30" t="str">
        <f t="shared" si="402"/>
        <v>5,10128125484775-12,9411103503385i</v>
      </c>
      <c r="AQ428" s="32">
        <f t="shared" si="403"/>
        <v>22.8667066184381</v>
      </c>
      <c r="AR428" s="31">
        <f t="shared" si="404"/>
        <v>-68.4860413468357</v>
      </c>
      <c r="AS428" t="str">
        <f t="shared" si="380"/>
        <v>-0,000100699300699301</v>
      </c>
      <c r="AT428" t="str">
        <f t="shared" si="381"/>
        <v>0,177739085280447i</v>
      </c>
      <c r="AU428">
        <f t="shared" si="405"/>
        <v>0.177739085280447</v>
      </c>
      <c r="AV428">
        <f t="shared" si="406"/>
        <v>1.5707963267949</v>
      </c>
      <c r="AW428" t="str">
        <f t="shared" si="382"/>
        <v>1+9,09991516057814i</v>
      </c>
      <c r="AX428">
        <f t="shared" si="407"/>
        <v>9.15469584037175</v>
      </c>
      <c r="AY428">
        <f t="shared" si="408"/>
        <v>1.4613443653614</v>
      </c>
      <c r="AZ428" t="str">
        <f t="shared" si="383"/>
        <v>1+435,053390762107i</v>
      </c>
      <c r="BA428">
        <f t="shared" si="409"/>
        <v>435.054540044816</v>
      </c>
      <c r="BB428">
        <f t="shared" si="410"/>
        <v>1.56849776238855</v>
      </c>
      <c r="BC428" s="30" t="str">
        <f t="shared" si="411"/>
        <v>-0,00287950502489305+0,0267698083058582i</v>
      </c>
      <c r="BD428" s="32">
        <f t="shared" si="412"/>
        <v>-31.3971340141091</v>
      </c>
      <c r="BE428" s="31">
        <f t="shared" si="413"/>
        <v>96.1394374101451</v>
      </c>
      <c r="BF428" s="30" t="str">
        <f t="shared" si="414"/>
        <v>0,0192600598089593-0,0691124194447679i</v>
      </c>
      <c r="BG428" s="68">
        <f t="shared" si="415"/>
        <v>-22.8840563370692</v>
      </c>
      <c r="BH428" s="31">
        <f t="shared" si="416"/>
        <v>-74.4280552065502</v>
      </c>
      <c r="BI428" s="30" t="str">
        <f t="shared" si="369"/>
        <v>0,331741878336792+0,173824313588037i</v>
      </c>
      <c r="BJ428" s="68">
        <f t="shared" si="417"/>
        <v>-8.53042739567102</v>
      </c>
      <c r="BK428" s="31">
        <f t="shared" si="370"/>
        <v>27.6533960633094</v>
      </c>
      <c r="BL428" s="32">
        <f t="shared" si="418"/>
        <v>-22.8840563370692</v>
      </c>
      <c r="BM428" s="31">
        <f t="shared" si="419"/>
        <v>-74.4280552065502</v>
      </c>
      <c r="BO428">
        <f t="shared" si="420"/>
        <v>0</v>
      </c>
      <c r="BP428">
        <f t="shared" si="421"/>
        <v>0</v>
      </c>
    </row>
    <row r="429" spans="14:68">
      <c r="N429" s="7">
        <v>11</v>
      </c>
      <c r="O429" s="18">
        <f t="shared" si="422"/>
        <v>128824.955169314</v>
      </c>
      <c r="P429" s="86" t="str">
        <f t="shared" si="372"/>
        <v>60</v>
      </c>
      <c r="Q429" s="4" t="str">
        <f t="shared" si="373"/>
        <v>1+1057,65659227673i</v>
      </c>
      <c r="R429" s="4">
        <f t="shared" si="384"/>
        <v>1057.65706501986</v>
      </c>
      <c r="S429" s="4">
        <f t="shared" si="385"/>
        <v>1.56985084060465</v>
      </c>
      <c r="T429" s="4" t="str">
        <f t="shared" si="374"/>
        <v>1+12,6918791073207i</v>
      </c>
      <c r="U429" s="4">
        <f t="shared" si="386"/>
        <v>12.7312134250763</v>
      </c>
      <c r="V429" s="4">
        <f t="shared" si="387"/>
        <v>1.4921682253994</v>
      </c>
      <c r="W429" t="str">
        <f t="shared" si="375"/>
        <v>1-17,7063045582041i</v>
      </c>
      <c r="X429" s="4">
        <f t="shared" si="388"/>
        <v>17.7345206055275</v>
      </c>
      <c r="Y429" s="4">
        <f t="shared" si="389"/>
        <v>-1.51437920104778</v>
      </c>
      <c r="Z429" t="str">
        <f t="shared" si="376"/>
        <v>0,864523517760197+4,72443438241063i</v>
      </c>
      <c r="AA429" s="4">
        <f t="shared" si="390"/>
        <v>4.80288258720366</v>
      </c>
      <c r="AB429" s="4">
        <f t="shared" si="391"/>
        <v>1.38980889086685</v>
      </c>
      <c r="AC429" s="67" t="str">
        <f t="shared" si="392"/>
        <v>-2,63287522170668-0,424140871089298i</v>
      </c>
      <c r="AD429" s="68">
        <f t="shared" si="393"/>
        <v>8.51987315327159</v>
      </c>
      <c r="AE429" s="31">
        <f t="shared" si="394"/>
        <v>-170.84860657166</v>
      </c>
      <c r="AF429" s="32" t="str">
        <f t="shared" si="395"/>
        <v>326,048966736478</v>
      </c>
      <c r="AG429" s="32" t="str">
        <f t="shared" si="377"/>
        <v>1+679,922095035039i</v>
      </c>
      <c r="AH429" s="32">
        <f t="shared" si="396"/>
        <v>679.922830413008</v>
      </c>
      <c r="AI429" s="32">
        <f t="shared" si="397"/>
        <v>1.56932557112118</v>
      </c>
      <c r="AJ429" s="32" t="str">
        <f t="shared" si="378"/>
        <v>1+12,6918791073207i</v>
      </c>
      <c r="AK429" s="32">
        <f t="shared" si="398"/>
        <v>12.7312134250763</v>
      </c>
      <c r="AL429" s="32">
        <f t="shared" si="399"/>
        <v>1.4921682253994</v>
      </c>
      <c r="AM429" s="32" t="str">
        <f t="shared" si="379"/>
        <v>1-2,09460187865884i</v>
      </c>
      <c r="AN429" s="32">
        <f t="shared" si="400"/>
        <v>2.32106807958774</v>
      </c>
      <c r="AO429" s="32">
        <f t="shared" si="401"/>
        <v>-1.12537721773412</v>
      </c>
      <c r="AP429" s="30" t="str">
        <f t="shared" si="402"/>
        <v>5,10124853592019-13,2203012120729i</v>
      </c>
      <c r="AQ429" s="32">
        <f t="shared" si="403"/>
        <v>23.027617635802</v>
      </c>
      <c r="AR429" s="31">
        <f t="shared" si="404"/>
        <v>-68.9001552046303</v>
      </c>
      <c r="AS429" t="str">
        <f t="shared" si="380"/>
        <v>-0,000100699300699301</v>
      </c>
      <c r="AT429" t="str">
        <f t="shared" si="381"/>
        <v>0,181879160421873i</v>
      </c>
      <c r="AU429">
        <f t="shared" si="405"/>
        <v>0.181879160421873</v>
      </c>
      <c r="AV429">
        <f t="shared" si="406"/>
        <v>1.5707963267949</v>
      </c>
      <c r="AW429" t="str">
        <f t="shared" si="382"/>
        <v>1+9,31187941416902i</v>
      </c>
      <c r="AX429">
        <f t="shared" si="407"/>
        <v>9.36542034422507</v>
      </c>
      <c r="AY429">
        <f t="shared" si="408"/>
        <v>1.4638166124518</v>
      </c>
      <c r="AZ429" t="str">
        <f t="shared" si="383"/>
        <v>1+445,187086034846i</v>
      </c>
      <c r="BA429">
        <f t="shared" si="409"/>
        <v>445.188209156754</v>
      </c>
      <c r="BB429">
        <f t="shared" si="410"/>
        <v>1.5685500839242</v>
      </c>
      <c r="BC429" s="30" t="str">
        <f t="shared" si="411"/>
        <v>-0,0027513835177594+0,026174212005422i</v>
      </c>
      <c r="BD429" s="32">
        <f t="shared" si="412"/>
        <v>-31.5948021411906</v>
      </c>
      <c r="BE429" s="31">
        <f t="shared" si="413"/>
        <v>96.0007858891225</v>
      </c>
      <c r="BF429" s="30" t="str">
        <f t="shared" si="414"/>
        <v>0,0183456025693765-0,0677464600348499i</v>
      </c>
      <c r="BG429" s="68">
        <f t="shared" si="415"/>
        <v>-23.074928987919</v>
      </c>
      <c r="BH429" s="31">
        <f t="shared" si="416"/>
        <v>-74.8478206825375</v>
      </c>
      <c r="BI429" s="30" t="str">
        <f t="shared" si="369"/>
        <v>0,331995475558608+0,169895279526236i</v>
      </c>
      <c r="BJ429" s="68">
        <f t="shared" si="417"/>
        <v>-8.56718450538856</v>
      </c>
      <c r="BK429" s="31">
        <f t="shared" si="370"/>
        <v>27.1006306844923</v>
      </c>
      <c r="BL429" s="32">
        <f t="shared" si="418"/>
        <v>-23.074928987919</v>
      </c>
      <c r="BM429" s="31">
        <f t="shared" si="419"/>
        <v>-74.8478206825375</v>
      </c>
      <c r="BO429">
        <f t="shared" si="420"/>
        <v>0</v>
      </c>
      <c r="BP429">
        <f t="shared" si="421"/>
        <v>0</v>
      </c>
    </row>
    <row r="430" spans="14:68">
      <c r="N430" s="7">
        <v>12</v>
      </c>
      <c r="O430" s="18">
        <f t="shared" si="422"/>
        <v>131825.673855641</v>
      </c>
      <c r="P430" s="86" t="str">
        <f t="shared" si="372"/>
        <v>60</v>
      </c>
      <c r="Q430" s="4" t="str">
        <f t="shared" si="373"/>
        <v>1+1082,29257911631i</v>
      </c>
      <c r="R430" s="4">
        <f t="shared" si="384"/>
        <v>1082.2930410985</v>
      </c>
      <c r="S430" s="4">
        <f t="shared" si="385"/>
        <v>1.5698723624855</v>
      </c>
      <c r="T430" s="4" t="str">
        <f t="shared" si="374"/>
        <v>1+12,9875109493958i</v>
      </c>
      <c r="U430" s="4">
        <f t="shared" si="386"/>
        <v>13.0259525816992</v>
      </c>
      <c r="V430" s="4">
        <f t="shared" si="387"/>
        <v>1.49395090029224</v>
      </c>
      <c r="W430" t="str">
        <f t="shared" si="375"/>
        <v>1-18,118737373599i</v>
      </c>
      <c r="X430" s="4">
        <f t="shared" si="388"/>
        <v>18.1463121325919</v>
      </c>
      <c r="Y430" s="4">
        <f t="shared" si="389"/>
        <v>-1.51566078039944</v>
      </c>
      <c r="Z430" t="str">
        <f t="shared" si="376"/>
        <v>0,858138707857192+4,83448059601103i</v>
      </c>
      <c r="AA430" s="4">
        <f t="shared" si="390"/>
        <v>4.91005139231047</v>
      </c>
      <c r="AB430" s="4">
        <f t="shared" si="391"/>
        <v>1.39512229166351</v>
      </c>
      <c r="AC430" s="67" t="str">
        <f t="shared" si="392"/>
        <v>-2,63686453324893-0,411716672492415i</v>
      </c>
      <c r="AD430" s="68">
        <f t="shared" si="393"/>
        <v>8.52636432556079</v>
      </c>
      <c r="AE430" s="31">
        <f t="shared" si="394"/>
        <v>-171.125564465467</v>
      </c>
      <c r="AF430" s="32" t="str">
        <f t="shared" si="395"/>
        <v>326,048966736478</v>
      </c>
      <c r="AG430" s="32" t="str">
        <f t="shared" si="377"/>
        <v>1+695,759515146202i</v>
      </c>
      <c r="AH430" s="32">
        <f t="shared" si="396"/>
        <v>695.760233784943</v>
      </c>
      <c r="AI430" s="32">
        <f t="shared" si="397"/>
        <v>1.56935904956096</v>
      </c>
      <c r="AJ430" s="32" t="str">
        <f t="shared" si="378"/>
        <v>1+12,9875109493958i</v>
      </c>
      <c r="AK430" s="32">
        <f t="shared" si="398"/>
        <v>13.0259525816992</v>
      </c>
      <c r="AL430" s="32">
        <f t="shared" si="399"/>
        <v>1.49395090029224</v>
      </c>
      <c r="AM430" s="32" t="str">
        <f t="shared" si="379"/>
        <v>1-2,14339142404969i</v>
      </c>
      <c r="AN430" s="32">
        <f t="shared" si="400"/>
        <v>2.36519064700708</v>
      </c>
      <c r="AO430" s="32">
        <f t="shared" si="401"/>
        <v>-1.13426469405921</v>
      </c>
      <c r="AP430" s="30" t="str">
        <f t="shared" si="402"/>
        <v>5,10121728958077-13,5065016481687i</v>
      </c>
      <c r="AQ430" s="32">
        <f t="shared" si="403"/>
        <v>23.1899774214834</v>
      </c>
      <c r="AR430" s="31">
        <f t="shared" si="404"/>
        <v>-69.3091485142807</v>
      </c>
      <c r="AS430" t="str">
        <f t="shared" si="380"/>
        <v>-0,000100699300699301</v>
      </c>
      <c r="AT430" t="str">
        <f t="shared" si="381"/>
        <v>0,186115670301609i</v>
      </c>
      <c r="AU430">
        <f t="shared" si="405"/>
        <v>0.186115670301609</v>
      </c>
      <c r="AV430">
        <f t="shared" si="406"/>
        <v>1.5707963267949</v>
      </c>
      <c r="AW430" t="str">
        <f t="shared" si="382"/>
        <v>1+9,52878094948255i</v>
      </c>
      <c r="AX430">
        <f t="shared" si="407"/>
        <v>9.58110987220278</v>
      </c>
      <c r="AY430">
        <f t="shared" si="408"/>
        <v>1.46623385346425</v>
      </c>
      <c r="AZ430" t="str">
        <f t="shared" si="383"/>
        <v>1+455,556825393346i</v>
      </c>
      <c r="BA430">
        <f t="shared" si="409"/>
        <v>455.55792294994</v>
      </c>
      <c r="BB430">
        <f t="shared" si="410"/>
        <v>1.56860121448819</v>
      </c>
      <c r="BC430" s="30" t="str">
        <f t="shared" si="411"/>
        <v>-0,00262889983467232+0,0255912682777867i</v>
      </c>
      <c r="BD430" s="32">
        <f t="shared" si="412"/>
        <v>-31.7925740493957</v>
      </c>
      <c r="BE430" s="31">
        <f t="shared" si="413"/>
        <v>95.8652177465635</v>
      </c>
      <c r="BF430" s="30" t="str">
        <f t="shared" si="414"/>
        <v>0,0174684045557025-0,066398345790307i</v>
      </c>
      <c r="BG430" s="68">
        <f t="shared" si="415"/>
        <v>-23.2662097238349</v>
      </c>
      <c r="BH430" s="31">
        <f t="shared" si="416"/>
        <v>-75.2603467189037</v>
      </c>
      <c r="BI430" s="30" t="str">
        <f t="shared" si="369"/>
        <v>0,332237917883447+0,166053860150818i</v>
      </c>
      <c r="BJ430" s="68">
        <f t="shared" si="417"/>
        <v>-8.60259662791235</v>
      </c>
      <c r="BK430" s="31">
        <f t="shared" si="370"/>
        <v>26.5560692322828</v>
      </c>
      <c r="BL430" s="32">
        <f t="shared" si="418"/>
        <v>-23.2662097238349</v>
      </c>
      <c r="BM430" s="31">
        <f t="shared" si="419"/>
        <v>-75.2603467189037</v>
      </c>
      <c r="BO430">
        <f t="shared" si="420"/>
        <v>0</v>
      </c>
      <c r="BP430">
        <f t="shared" si="421"/>
        <v>0</v>
      </c>
    </row>
    <row r="431" spans="14:68">
      <c r="N431" s="7">
        <v>13</v>
      </c>
      <c r="O431" s="18">
        <f t="shared" si="422"/>
        <v>134896.288259165</v>
      </c>
      <c r="P431" s="86" t="str">
        <f t="shared" si="372"/>
        <v>60</v>
      </c>
      <c r="Q431" s="4" t="str">
        <f t="shared" si="373"/>
        <v>1+1107,50241180718i</v>
      </c>
      <c r="R431" s="4">
        <f t="shared" si="384"/>
        <v>1107.50286327337</v>
      </c>
      <c r="S431" s="4">
        <f t="shared" si="385"/>
        <v>1.56989339446935</v>
      </c>
      <c r="T431" s="4" t="str">
        <f t="shared" si="374"/>
        <v>1+13,2900289416862i</v>
      </c>
      <c r="U431" s="4">
        <f t="shared" si="386"/>
        <v>13.3275980308102</v>
      </c>
      <c r="V431" s="4">
        <f t="shared" si="387"/>
        <v>1.49569346956101</v>
      </c>
      <c r="W431" t="str">
        <f t="shared" si="375"/>
        <v>1-18,5407769833792i</v>
      </c>
      <c r="X431" s="4">
        <f t="shared" si="388"/>
        <v>18.5677249857758</v>
      </c>
      <c r="Y431" s="4">
        <f t="shared" si="389"/>
        <v>-1.51691336265349</v>
      </c>
      <c r="Z431" t="str">
        <f t="shared" si="376"/>
        <v>0,851452991133879+4,94709011521535i</v>
      </c>
      <c r="AA431" s="4">
        <f t="shared" si="390"/>
        <v>5.01982796559526</v>
      </c>
      <c r="AB431" s="4">
        <f t="shared" si="391"/>
        <v>1.4003543253657</v>
      </c>
      <c r="AC431" s="67" t="str">
        <f t="shared" si="392"/>
        <v>-2,64067943587142-0,399437403256859i</v>
      </c>
      <c r="AD431" s="68">
        <f t="shared" si="393"/>
        <v>8.53256279230144</v>
      </c>
      <c r="AE431" s="31">
        <f t="shared" si="394"/>
        <v>-171.398468770822</v>
      </c>
      <c r="AF431" s="32" t="str">
        <f t="shared" si="395"/>
        <v>326,048966736478</v>
      </c>
      <c r="AG431" s="32" t="str">
        <f t="shared" si="377"/>
        <v>1+711,965836161761i</v>
      </c>
      <c r="AH431" s="32">
        <f t="shared" si="396"/>
        <v>711.966538442303</v>
      </c>
      <c r="AI431" s="32">
        <f t="shared" si="397"/>
        <v>1.56939176594154</v>
      </c>
      <c r="AJ431" s="32" t="str">
        <f t="shared" si="378"/>
        <v>1+13,2900289416862i</v>
      </c>
      <c r="AK431" s="32">
        <f t="shared" si="398"/>
        <v>13.3275980308102</v>
      </c>
      <c r="AL431" s="32">
        <f t="shared" si="399"/>
        <v>1.49569346956101</v>
      </c>
      <c r="AM431" s="32" t="str">
        <f t="shared" si="379"/>
        <v>1-2,1933174239447i</v>
      </c>
      <c r="AN431" s="32">
        <f t="shared" si="400"/>
        <v>2.41052718760428</v>
      </c>
      <c r="AO431" s="32">
        <f t="shared" si="401"/>
        <v>-1.14302166956718</v>
      </c>
      <c r="AP431" s="30" t="str">
        <f t="shared" si="402"/>
        <v>5,10118744955255-13,7998634061742i</v>
      </c>
      <c r="AQ431" s="32">
        <f t="shared" si="403"/>
        <v>23.3537433042823</v>
      </c>
      <c r="AR431" s="31">
        <f t="shared" si="404"/>
        <v>-69.7129188981051</v>
      </c>
      <c r="AS431" t="str">
        <f t="shared" si="380"/>
        <v>-0,000100699300699301</v>
      </c>
      <c r="AT431" t="str">
        <f t="shared" si="381"/>
        <v>0,190450861173271i</v>
      </c>
      <c r="AU431">
        <f t="shared" si="405"/>
        <v>0.190450861173271</v>
      </c>
      <c r="AV431">
        <f t="shared" si="406"/>
        <v>1.5707963267949</v>
      </c>
      <c r="AW431" t="str">
        <f t="shared" si="382"/>
        <v>1+9,7507347705838i</v>
      </c>
      <c r="AX431">
        <f t="shared" si="407"/>
        <v>9.80187882838142</v>
      </c>
      <c r="AY431">
        <f t="shared" si="408"/>
        <v>1.46859725699777</v>
      </c>
      <c r="AZ431" t="str">
        <f t="shared" si="383"/>
        <v>1+466,168107010676i</v>
      </c>
      <c r="BA431">
        <f t="shared" si="409"/>
        <v>466.16917958389</v>
      </c>
      <c r="BB431">
        <f t="shared" si="410"/>
        <v>1.56865118118953</v>
      </c>
      <c r="BC431" s="30" t="str">
        <f t="shared" si="411"/>
        <v>-0,00251181136575188+0,0250207480613059i</v>
      </c>
      <c r="BD431" s="32">
        <f t="shared" si="412"/>
        <v>-31.9904451696939</v>
      </c>
      <c r="BE431" s="31">
        <f t="shared" si="413"/>
        <v>95.7326675799099</v>
      </c>
      <c r="BF431" s="30" t="str">
        <f t="shared" si="414"/>
        <v>0,0166271112534812-0,0650684634662032i</v>
      </c>
      <c r="BG431" s="68">
        <f t="shared" si="415"/>
        <v>-23.4578823773925</v>
      </c>
      <c r="BH431" s="31">
        <f t="shared" si="416"/>
        <v>-75.6658011909124</v>
      </c>
      <c r="BI431" s="30" t="str">
        <f t="shared" si="369"/>
        <v>0,332469684951702+0,162298179738202i</v>
      </c>
      <c r="BJ431" s="68">
        <f t="shared" si="417"/>
        <v>-8.63670186541161</v>
      </c>
      <c r="BK431" s="31">
        <f t="shared" si="370"/>
        <v>26.0197486818049</v>
      </c>
      <c r="BL431" s="32">
        <f t="shared" si="418"/>
        <v>-23.4578823773925</v>
      </c>
      <c r="BM431" s="31">
        <f t="shared" si="419"/>
        <v>-75.6658011909124</v>
      </c>
      <c r="BO431">
        <f t="shared" si="420"/>
        <v>0</v>
      </c>
      <c r="BP431">
        <f t="shared" si="421"/>
        <v>0</v>
      </c>
    </row>
    <row r="432" spans="14:68">
      <c r="N432" s="7">
        <v>14</v>
      </c>
      <c r="O432" s="18">
        <f t="shared" si="422"/>
        <v>138038.426460289</v>
      </c>
      <c r="P432" s="86" t="str">
        <f t="shared" si="372"/>
        <v>60</v>
      </c>
      <c r="Q432" s="4" t="str">
        <f t="shared" si="373"/>
        <v>1+1133,29945693633i</v>
      </c>
      <c r="R432" s="4">
        <f t="shared" si="384"/>
        <v>1133.2998981259</v>
      </c>
      <c r="S432" s="4">
        <f t="shared" si="385"/>
        <v>1.56991394770758</v>
      </c>
      <c r="T432" s="4" t="str">
        <f t="shared" si="374"/>
        <v>1+13,599593483236i</v>
      </c>
      <c r="U432" s="4">
        <f t="shared" si="386"/>
        <v>13.6363097247487</v>
      </c>
      <c r="V432" s="4">
        <f t="shared" si="387"/>
        <v>1.49739681478417</v>
      </c>
      <c r="W432" t="str">
        <f t="shared" si="375"/>
        <v>1-18,9726471585323i</v>
      </c>
      <c r="X432" s="4">
        <f t="shared" si="388"/>
        <v>18.99898260966</v>
      </c>
      <c r="Y432" s="4">
        <f t="shared" si="389"/>
        <v>-1.51813759621467</v>
      </c>
      <c r="Z432" t="str">
        <f t="shared" si="376"/>
        <v>0,844452186288712+5,06232264708129i</v>
      </c>
      <c r="AA432" s="4">
        <f t="shared" si="390"/>
        <v>5.13227143456773</v>
      </c>
      <c r="AB432" s="4">
        <f t="shared" si="391"/>
        <v>1.40550701205421</v>
      </c>
      <c r="AC432" s="67" t="str">
        <f t="shared" si="392"/>
        <v>-2,64432607533739-0,387301103788731i</v>
      </c>
      <c r="AD432" s="68">
        <f t="shared" si="393"/>
        <v>8.53847971181407</v>
      </c>
      <c r="AE432" s="31">
        <f t="shared" si="394"/>
        <v>-171.667422508886</v>
      </c>
      <c r="AF432" s="32" t="str">
        <f t="shared" si="395"/>
        <v>326,048966736478</v>
      </c>
      <c r="AG432" s="32" t="str">
        <f t="shared" si="377"/>
        <v>1+728,549650887642i</v>
      </c>
      <c r="AH432" s="32">
        <f t="shared" si="396"/>
        <v>728.550337182342</v>
      </c>
      <c r="AI432" s="32">
        <f t="shared" si="397"/>
        <v>1.56942373760927</v>
      </c>
      <c r="AJ432" s="32" t="str">
        <f t="shared" si="378"/>
        <v>1+13,599593483236i</v>
      </c>
      <c r="AK432" s="32">
        <f t="shared" si="398"/>
        <v>13.6363097247487</v>
      </c>
      <c r="AL432" s="32">
        <f t="shared" si="399"/>
        <v>1.49739681478417</v>
      </c>
      <c r="AM432" s="32" t="str">
        <f t="shared" si="379"/>
        <v>1-2,2444063497699i</v>
      </c>
      <c r="AN432" s="32">
        <f t="shared" si="400"/>
        <v>2.45710395850225</v>
      </c>
      <c r="AO432" s="32">
        <f t="shared" si="401"/>
        <v>-1.15164741409418</v>
      </c>
      <c r="AP432" s="30" t="str">
        <f t="shared" si="402"/>
        <v>5,10115895254169-14,100542030647i</v>
      </c>
      <c r="AQ432" s="32">
        <f t="shared" si="403"/>
        <v>23.518873064318</v>
      </c>
      <c r="AR432" s="31">
        <f t="shared" si="404"/>
        <v>-70.1113750039442</v>
      </c>
      <c r="AS432" t="str">
        <f t="shared" si="380"/>
        <v>-0,000100699300699301</v>
      </c>
      <c r="AT432" t="str">
        <f t="shared" si="381"/>
        <v>0,194887031612444i</v>
      </c>
      <c r="AU432">
        <f t="shared" si="405"/>
        <v>0.194887031612444</v>
      </c>
      <c r="AV432">
        <f t="shared" si="406"/>
        <v>1.5707963267949</v>
      </c>
      <c r="AW432" t="str">
        <f t="shared" si="382"/>
        <v>1+9,97785856032675i</v>
      </c>
      <c r="AX432">
        <f t="shared" si="407"/>
        <v>10.0278443072221</v>
      </c>
      <c r="AY432">
        <f t="shared" si="408"/>
        <v>1.47090797049281</v>
      </c>
      <c r="AZ432" t="str">
        <f t="shared" si="383"/>
        <v>1+477,026557128812i</v>
      </c>
      <c r="BA432">
        <f t="shared" si="409"/>
        <v>477.027605287333</v>
      </c>
      <c r="BB432">
        <f t="shared" si="410"/>
        <v>1.56870001052024</v>
      </c>
      <c r="BC432" s="30" t="str">
        <f t="shared" si="411"/>
        <v>-0,00239988546370905+0,024462423728869i</v>
      </c>
      <c r="BD432" s="32">
        <f t="shared" si="412"/>
        <v>-32.1884111298701</v>
      </c>
      <c r="BE432" s="31">
        <f t="shared" si="413"/>
        <v>95.6030711635464</v>
      </c>
      <c r="BF432" s="30" t="str">
        <f t="shared" si="414"/>
        <v>0,0158204034210476-0,0637571466431394i</v>
      </c>
      <c r="BG432" s="68">
        <f t="shared" si="415"/>
        <v>-23.649931418056</v>
      </c>
      <c r="BH432" s="31">
        <f t="shared" si="416"/>
        <v>-76.0643513453394</v>
      </c>
      <c r="BI432" s="30" t="str">
        <f t="shared" si="369"/>
        <v>0,33269123674214+0,158626397655157i</v>
      </c>
      <c r="BJ432" s="68">
        <f t="shared" si="417"/>
        <v>-8.66953806555209</v>
      </c>
      <c r="BK432" s="31">
        <f t="shared" si="370"/>
        <v>25.4916961596022</v>
      </c>
      <c r="BL432" s="32">
        <f t="shared" si="418"/>
        <v>-23.649931418056</v>
      </c>
      <c r="BM432" s="31">
        <f t="shared" si="419"/>
        <v>-76.0643513453394</v>
      </c>
      <c r="BO432">
        <f t="shared" si="420"/>
        <v>0</v>
      </c>
      <c r="BP432">
        <f t="shared" si="421"/>
        <v>0</v>
      </c>
    </row>
    <row r="433" spans="14:68">
      <c r="N433" s="7">
        <v>15</v>
      </c>
      <c r="O433" s="18">
        <f t="shared" si="422"/>
        <v>141253.754462276</v>
      </c>
      <c r="P433" s="86" t="str">
        <f t="shared" si="372"/>
        <v>60</v>
      </c>
      <c r="Q433" s="4" t="str">
        <f t="shared" si="373"/>
        <v>1+1159,69739243853i</v>
      </c>
      <c r="R433" s="4">
        <f t="shared" si="384"/>
        <v>1159.69782358541</v>
      </c>
      <c r="S433" s="4">
        <f t="shared" si="385"/>
        <v>1.5699340330977</v>
      </c>
      <c r="T433" s="4" t="str">
        <f t="shared" si="374"/>
        <v>1+13,9163687092624i</v>
      </c>
      <c r="U433" s="4">
        <f t="shared" si="386"/>
        <v>13.9522513614161</v>
      </c>
      <c r="V433" s="4">
        <f t="shared" si="387"/>
        <v>1.49906179953929</v>
      </c>
      <c r="W433" t="str">
        <f t="shared" si="375"/>
        <v>1-19,4145768823415i</v>
      </c>
      <c r="X433" s="4">
        <f t="shared" si="388"/>
        <v>19.4403136682603</v>
      </c>
      <c r="Y433" s="4">
        <f t="shared" si="389"/>
        <v>-1.51933411550097</v>
      </c>
      <c r="Z433" t="str">
        <f t="shared" si="376"/>
        <v>0,837121443676007+5,18023928942244i</v>
      </c>
      <c r="AA433" s="4">
        <f t="shared" si="390"/>
        <v>5.24744236815785</v>
      </c>
      <c r="AB433" s="4">
        <f t="shared" si="391"/>
        <v>1.41058237584468</v>
      </c>
      <c r="AC433" s="67" t="str">
        <f t="shared" si="392"/>
        <v>-2,64781039891679-0,375305629021979i</v>
      </c>
      <c r="AD433" s="68">
        <f t="shared" si="393"/>
        <v>8.54412581139238</v>
      </c>
      <c r="AE433" s="31">
        <f t="shared" si="394"/>
        <v>-171.932529147447</v>
      </c>
      <c r="AF433" s="32" t="str">
        <f t="shared" si="395"/>
        <v>326,048966736478</v>
      </c>
      <c r="AG433" s="32" t="str">
        <f t="shared" si="377"/>
        <v>1+745,519752281914i</v>
      </c>
      <c r="AH433" s="32">
        <f t="shared" si="396"/>
        <v>745.520422954654</v>
      </c>
      <c r="AI433" s="32">
        <f t="shared" si="397"/>
        <v>1.56945498151571</v>
      </c>
      <c r="AJ433" s="32" t="str">
        <f t="shared" si="378"/>
        <v>1+13,9163687092624i</v>
      </c>
      <c r="AK433" s="32">
        <f t="shared" si="398"/>
        <v>13.9522513614161</v>
      </c>
      <c r="AL433" s="32">
        <f t="shared" si="399"/>
        <v>1.49906179953929</v>
      </c>
      <c r="AM433" s="32" t="str">
        <f t="shared" si="379"/>
        <v>1-2,29668528954997i</v>
      </c>
      <c r="AN433" s="32">
        <f t="shared" si="400"/>
        <v>2.50494776776587</v>
      </c>
      <c r="AO433" s="32">
        <f t="shared" si="401"/>
        <v>-1.16014136580298</v>
      </c>
      <c r="AP433" s="30" t="str">
        <f t="shared" si="402"/>
        <v>5,10113173810285-14,4086969456252i</v>
      </c>
      <c r="AQ433" s="32">
        <f t="shared" si="403"/>
        <v>23.6853249904256</v>
      </c>
      <c r="AR433" s="31">
        <f t="shared" si="404"/>
        <v>-70.5044361327987</v>
      </c>
      <c r="AS433" t="str">
        <f t="shared" si="380"/>
        <v>-0,000100699300699301</v>
      </c>
      <c r="AT433" t="str">
        <f t="shared" si="381"/>
        <v>0,199426533735412i</v>
      </c>
      <c r="AU433">
        <f t="shared" si="405"/>
        <v>0.199426533735412</v>
      </c>
      <c r="AV433">
        <f t="shared" si="406"/>
        <v>1.5707963267949</v>
      </c>
      <c r="AW433" t="str">
        <f t="shared" si="382"/>
        <v>1+10,2102727427509i</v>
      </c>
      <c r="AX433">
        <f t="shared" si="407"/>
        <v>10.2591261558362</v>
      </c>
      <c r="AY433">
        <f t="shared" si="408"/>
        <v>1.47316712036365</v>
      </c>
      <c r="AZ433" t="str">
        <f t="shared" si="383"/>
        <v>1+488,137933041729i</v>
      </c>
      <c r="BA433">
        <f t="shared" si="409"/>
        <v>488.1389573413</v>
      </c>
      <c r="BB433">
        <f t="shared" si="410"/>
        <v>1.56874772836935</v>
      </c>
      <c r="BC433" s="30" t="str">
        <f t="shared" si="411"/>
        <v>-0,00229289907671294+0,0239160692910775i</v>
      </c>
      <c r="BD433" s="32">
        <f t="shared" si="412"/>
        <v>-32.3864677464245</v>
      </c>
      <c r="BE433" s="31">
        <f t="shared" si="413"/>
        <v>95.4763654420205</v>
      </c>
      <c r="BF433" s="30" t="str">
        <f t="shared" si="414"/>
        <v>0,0150469974480083-0,0624646790398598i</v>
      </c>
      <c r="BG433" s="68">
        <f t="shared" si="415"/>
        <v>-23.8423419350321</v>
      </c>
      <c r="BH433" s="31">
        <f t="shared" si="416"/>
        <v>-76.4561637054261</v>
      </c>
      <c r="BI433" s="30" t="str">
        <f t="shared" si="369"/>
        <v>0,332903014293222+0,155036708034643i</v>
      </c>
      <c r="BJ433" s="68">
        <f t="shared" si="417"/>
        <v>-8.70114275599894</v>
      </c>
      <c r="BK433" s="31">
        <f t="shared" si="370"/>
        <v>24.9719293092218</v>
      </c>
      <c r="BL433" s="32">
        <f t="shared" si="418"/>
        <v>-23.8423419350321</v>
      </c>
      <c r="BM433" s="31">
        <f t="shared" si="419"/>
        <v>-76.4561637054261</v>
      </c>
      <c r="BO433">
        <f t="shared" si="420"/>
        <v>0</v>
      </c>
      <c r="BP433">
        <f t="shared" si="421"/>
        <v>0</v>
      </c>
    </row>
    <row r="434" spans="14:68">
      <c r="N434" s="7">
        <v>16</v>
      </c>
      <c r="O434" s="18">
        <f t="shared" si="422"/>
        <v>144543.977074593</v>
      </c>
      <c r="P434" s="86" t="str">
        <f t="shared" si="372"/>
        <v>60</v>
      </c>
      <c r="Q434" s="4" t="str">
        <f t="shared" si="373"/>
        <v>1+1186,71021484861i</v>
      </c>
      <c r="R434" s="4">
        <f t="shared" si="384"/>
        <v>1186.71063618139</v>
      </c>
      <c r="S434" s="4">
        <f t="shared" si="385"/>
        <v>1.5699536612892</v>
      </c>
      <c r="T434" s="4" t="str">
        <f t="shared" si="374"/>
        <v>1+14,2405225781833i</v>
      </c>
      <c r="U434" s="4">
        <f t="shared" si="386"/>
        <v>14.2755904711416</v>
      </c>
      <c r="V434" s="4">
        <f t="shared" si="387"/>
        <v>1.50068926967759</v>
      </c>
      <c r="W434" t="str">
        <f t="shared" si="375"/>
        <v>1-19,866800471796i</v>
      </c>
      <c r="X434" s="4">
        <f t="shared" si="388"/>
        <v>19.8919521662946</v>
      </c>
      <c r="Y434" s="4">
        <f t="shared" si="389"/>
        <v>-1.52050354121092</v>
      </c>
      <c r="Z434" t="str">
        <f t="shared" si="376"/>
        <v>0,829445213807832+5,30090256320341i</v>
      </c>
      <c r="AA434" s="4">
        <f t="shared" si="390"/>
        <v>5.36540281314322</v>
      </c>
      <c r="AB434" s="4">
        <f t="shared" si="391"/>
        <v>1.41558244325319</v>
      </c>
      <c r="AC434" s="67" t="str">
        <f t="shared" si="392"/>
        <v>-2,65113815566756-0,363448660985334i</v>
      </c>
      <c r="AD434" s="68">
        <f t="shared" si="393"/>
        <v>8.54951139656997</v>
      </c>
      <c r="AE434" s="31">
        <f t="shared" si="394"/>
        <v>-172.193892507193</v>
      </c>
      <c r="AF434" s="32" t="str">
        <f t="shared" si="395"/>
        <v>326,048966736478</v>
      </c>
      <c r="AG434" s="32" t="str">
        <f t="shared" si="377"/>
        <v>1+762,885138116965i</v>
      </c>
      <c r="AH434" s="32">
        <f t="shared" si="396"/>
        <v>762.885793523343</v>
      </c>
      <c r="AI434" s="32">
        <f t="shared" si="397"/>
        <v>1.56948551422654</v>
      </c>
      <c r="AJ434" s="32" t="str">
        <f t="shared" si="378"/>
        <v>1+14,2405225781833i</v>
      </c>
      <c r="AK434" s="32">
        <f t="shared" si="398"/>
        <v>14.2755904711416</v>
      </c>
      <c r="AL434" s="32">
        <f t="shared" si="399"/>
        <v>1.50068926967759</v>
      </c>
      <c r="AM434" s="32" t="str">
        <f t="shared" si="379"/>
        <v>1-2,35018196227077i</v>
      </c>
      <c r="AN434" s="32">
        <f t="shared" si="400"/>
        <v>2.55408599224515</v>
      </c>
      <c r="AO434" s="32">
        <f t="shared" si="401"/>
        <v>-1.16850312473241</v>
      </c>
      <c r="AP434" s="30" t="str">
        <f t="shared" si="402"/>
        <v>5,10110574851121-14,7244915391587i</v>
      </c>
      <c r="AQ434" s="32">
        <f t="shared" si="403"/>
        <v>23.8530579328093</v>
      </c>
      <c r="AR434" s="31">
        <f t="shared" si="404"/>
        <v>-70.8920318540203</v>
      </c>
      <c r="AS434" t="str">
        <f t="shared" si="380"/>
        <v>-0,000100699300699301</v>
      </c>
      <c r="AT434" t="str">
        <f t="shared" si="381"/>
        <v>0,204071774446288i</v>
      </c>
      <c r="AU434">
        <f t="shared" si="405"/>
        <v>0.204071774446288</v>
      </c>
      <c r="AV434">
        <f t="shared" si="406"/>
        <v>1.5707963267949</v>
      </c>
      <c r="AW434" t="str">
        <f t="shared" si="382"/>
        <v>1+10,4481005469322i</v>
      </c>
      <c r="AX434">
        <f t="shared" si="407"/>
        <v>10.4958470377004</v>
      </c>
      <c r="AY434">
        <f t="shared" si="408"/>
        <v>1.4753758121496</v>
      </c>
      <c r="AZ434" t="str">
        <f t="shared" si="383"/>
        <v>1+499,508126148012i</v>
      </c>
      <c r="BA434">
        <f t="shared" si="409"/>
        <v>499.509127131726</v>
      </c>
      <c r="BB434">
        <f t="shared" si="410"/>
        <v>1.56879436003661</v>
      </c>
      <c r="BC434" s="30" t="str">
        <f t="shared" si="411"/>
        <v>-0,0021906383909991+0,0233814605807823i</v>
      </c>
      <c r="BD434" s="32">
        <f t="shared" si="412"/>
        <v>-32.5846110167738</v>
      </c>
      <c r="BE434" s="31">
        <f t="shared" si="413"/>
        <v>95.3524885221665</v>
      </c>
      <c r="BF434" s="30" t="str">
        <f t="shared" si="414"/>
        <v>0,0143056455636146-0,0611912976910373i</v>
      </c>
      <c r="BG434" s="68">
        <f t="shared" si="415"/>
        <v>-24.0350996202038</v>
      </c>
      <c r="BH434" s="31">
        <f t="shared" si="416"/>
        <v>-76.8414039850268</v>
      </c>
      <c r="BI434" s="30" t="str">
        <f t="shared" ref="BI434:BI497" si="423">IMPRODUCT(AP434,BC434)</f>
        <v>0,333105440405667+0,151527339430839i</v>
      </c>
      <c r="BJ434" s="68">
        <f t="shared" si="417"/>
        <v>-8.73155308396452</v>
      </c>
      <c r="BK434" s="31">
        <f t="shared" ref="BK434:BK497" si="424">(180/PI())*IMARGUMENT(BI434)</f>
        <v>24.4604566681461</v>
      </c>
      <c r="BL434" s="32">
        <f t="shared" si="418"/>
        <v>-24.0350996202038</v>
      </c>
      <c r="BM434" s="31">
        <f t="shared" si="419"/>
        <v>-76.8414039850268</v>
      </c>
      <c r="BO434">
        <f t="shared" si="420"/>
        <v>0</v>
      </c>
      <c r="BP434">
        <f t="shared" si="421"/>
        <v>0</v>
      </c>
    </row>
    <row r="435" spans="14:68">
      <c r="N435" s="7">
        <v>17</v>
      </c>
      <c r="O435" s="18">
        <f t="shared" si="422"/>
        <v>147910.838816821</v>
      </c>
      <c r="P435" s="86" t="str">
        <f t="shared" si="372"/>
        <v>60</v>
      </c>
      <c r="Q435" s="4" t="str">
        <f t="shared" si="373"/>
        <v>1+1214,35224672257i</v>
      </c>
      <c r="R435" s="4">
        <f t="shared" si="384"/>
        <v>1214.35265846465</v>
      </c>
      <c r="S435" s="4">
        <f t="shared" si="385"/>
        <v>1.56997284268915</v>
      </c>
      <c r="T435" s="4" t="str">
        <f t="shared" si="374"/>
        <v>1+14,5722269606709i</v>
      </c>
      <c r="U435" s="4">
        <f t="shared" si="386"/>
        <v>14.6064985055729</v>
      </c>
      <c r="V435" s="4">
        <f t="shared" si="387"/>
        <v>1.50228005360103</v>
      </c>
      <c r="W435" t="str">
        <f t="shared" si="375"/>
        <v>1-20,3295577018288i</v>
      </c>
      <c r="X435" s="4">
        <f t="shared" si="388"/>
        <v>20.3541375732795</v>
      </c>
      <c r="Y435" s="4">
        <f t="shared" si="389"/>
        <v>-1.52164648058819</v>
      </c>
      <c r="Z435" t="str">
        <f t="shared" si="376"/>
        <v>0,821407214371463+5,42437644568913i</v>
      </c>
      <c r="AA435" s="4">
        <f t="shared" si="390"/>
        <v>5.48621633153201</v>
      </c>
      <c r="AB435" s="4">
        <f t="shared" si="391"/>
        <v>1.42050924170247</v>
      </c>
      <c r="AC435" s="67" t="str">
        <f t="shared" si="392"/>
        <v>-2,6543148971962-0,351727720756743i</v>
      </c>
      <c r="AD435" s="68">
        <f t="shared" si="393"/>
        <v>8.55464636054622</v>
      </c>
      <c r="AE435" s="31">
        <f t="shared" si="394"/>
        <v>-172.451616675738</v>
      </c>
      <c r="AF435" s="32" t="str">
        <f t="shared" si="395"/>
        <v>326,048966736478</v>
      </c>
      <c r="AG435" s="32" t="str">
        <f t="shared" si="377"/>
        <v>1+780,655015750225i</v>
      </c>
      <c r="AH435" s="32">
        <f t="shared" si="396"/>
        <v>780.655656237745</v>
      </c>
      <c r="AI435" s="32">
        <f t="shared" si="397"/>
        <v>1.56951535193038</v>
      </c>
      <c r="AJ435" s="32" t="str">
        <f t="shared" si="378"/>
        <v>1+14,5722269606709i</v>
      </c>
      <c r="AK435" s="32">
        <f t="shared" si="398"/>
        <v>14.6064985055729</v>
      </c>
      <c r="AL435" s="32">
        <f t="shared" si="399"/>
        <v>1.50228005360103</v>
      </c>
      <c r="AM435" s="32" t="str">
        <f t="shared" si="379"/>
        <v>1-2,40492473257631i</v>
      </c>
      <c r="AN435" s="32">
        <f t="shared" si="400"/>
        <v>2.60454659573547</v>
      </c>
      <c r="AO435" s="32">
        <f t="shared" si="401"/>
        <v>-1.17673244617929</v>
      </c>
      <c r="AP435" s="30" t="str">
        <f t="shared" si="402"/>
        <v>5,10108092864-15,0480932499409i</v>
      </c>
      <c r="AQ435" s="32">
        <f t="shared" si="403"/>
        <v>24.0220313509989</v>
      </c>
      <c r="AR435" s="31">
        <f t="shared" si="404"/>
        <v>-71.2741016107536</v>
      </c>
      <c r="AS435" t="str">
        <f t="shared" si="380"/>
        <v>-0,000100699300699301</v>
      </c>
      <c r="AT435" t="str">
        <f t="shared" si="381"/>
        <v>0,208825216713185i</v>
      </c>
      <c r="AU435">
        <f t="shared" si="405"/>
        <v>0.208825216713185</v>
      </c>
      <c r="AV435">
        <f t="shared" si="406"/>
        <v>1.5707963267949</v>
      </c>
      <c r="AW435" t="str">
        <f t="shared" si="382"/>
        <v>1+10,6914680723204i</v>
      </c>
      <c r="AX435">
        <f t="shared" si="407"/>
        <v>10.738132497853</v>
      </c>
      <c r="AY435">
        <f t="shared" si="408"/>
        <v>1.47753513068321</v>
      </c>
      <c r="AZ435" t="str">
        <f t="shared" si="383"/>
        <v>1+511,143165074551i</v>
      </c>
      <c r="BA435">
        <f t="shared" si="409"/>
        <v>511.144143273138</v>
      </c>
      <c r="BB435">
        <f t="shared" si="410"/>
        <v>1.56883993024595</v>
      </c>
      <c r="BC435" s="30" t="str">
        <f t="shared" si="411"/>
        <v>-0,00209289848333236+0,0228583754201654i</v>
      </c>
      <c r="BD435" s="32">
        <f t="shared" si="412"/>
        <v>-32.7828371117435</v>
      </c>
      <c r="BE435" s="31">
        <f t="shared" si="413"/>
        <v>95.2313796642326</v>
      </c>
      <c r="BF435" s="30" t="str">
        <f t="shared" si="414"/>
        <v>0,0135951359093652-0,0599371959901307i</v>
      </c>
      <c r="BG435" s="68">
        <f t="shared" si="415"/>
        <v>-24.2281907511973</v>
      </c>
      <c r="BH435" s="31">
        <f t="shared" si="416"/>
        <v>-77.2202370115054</v>
      </c>
      <c r="BI435" s="30" t="str">
        <f t="shared" si="423"/>
        <v>0,3332989203259+0,148096554455344i</v>
      </c>
      <c r="BJ435" s="68">
        <f t="shared" si="417"/>
        <v>-8.76080576074461</v>
      </c>
      <c r="BK435" s="31">
        <f t="shared" si="424"/>
        <v>23.957278053479</v>
      </c>
      <c r="BL435" s="32">
        <f t="shared" si="418"/>
        <v>-24.2281907511973</v>
      </c>
      <c r="BM435" s="31">
        <f t="shared" si="419"/>
        <v>-77.2202370115054</v>
      </c>
      <c r="BO435">
        <f t="shared" si="420"/>
        <v>0</v>
      </c>
      <c r="BP435">
        <f t="shared" si="421"/>
        <v>0</v>
      </c>
    </row>
    <row r="436" spans="14:68">
      <c r="N436" s="7">
        <v>18</v>
      </c>
      <c r="O436" s="18">
        <f t="shared" si="422"/>
        <v>151356.124843621</v>
      </c>
      <c r="P436" s="86" t="str">
        <f t="shared" si="372"/>
        <v>60</v>
      </c>
      <c r="Q436" s="4" t="str">
        <f t="shared" si="373"/>
        <v>1+1242,6381442316i</v>
      </c>
      <c r="R436" s="4">
        <f t="shared" si="384"/>
        <v>1242.63854660129</v>
      </c>
      <c r="S436" s="4">
        <f t="shared" si="385"/>
        <v>1.56999158746771</v>
      </c>
      <c r="T436" s="4" t="str">
        <f t="shared" si="374"/>
        <v>1+14,9116577307792i</v>
      </c>
      <c r="U436" s="4">
        <f t="shared" si="386"/>
        <v>14.9451509286426</v>
      </c>
      <c r="V436" s="4">
        <f t="shared" si="387"/>
        <v>1.50383496254117</v>
      </c>
      <c r="W436" t="str">
        <f t="shared" si="375"/>
        <v>1-20,8030939324486i</v>
      </c>
      <c r="X436" s="4">
        <f t="shared" si="388"/>
        <v>20.8271149505225</v>
      </c>
      <c r="Y436" s="4">
        <f t="shared" si="389"/>
        <v>-1.52276352768333</v>
      </c>
      <c r="Z436" t="str">
        <f t="shared" si="376"/>
        <v>0,812990395692425+5,55072640436647i</v>
      </c>
      <c r="AA436" s="4">
        <f t="shared" si="390"/>
        <v>5.60994803894111</v>
      </c>
      <c r="AB436" s="4">
        <f t="shared" si="391"/>
        <v>1.4253647981625</v>
      </c>
      <c r="AC436" s="67" t="str">
        <f t="shared" si="392"/>
        <v>-2,65734597884133-0,340140179812912i</v>
      </c>
      <c r="AD436" s="68">
        <f t="shared" si="393"/>
        <v>8.55954019371279</v>
      </c>
      <c r="AE436" s="31">
        <f t="shared" si="394"/>
        <v>-172.705805929056</v>
      </c>
      <c r="AF436" s="32" t="str">
        <f t="shared" si="395"/>
        <v>326,048966736478</v>
      </c>
      <c r="AG436" s="32" t="str">
        <f t="shared" si="377"/>
        <v>1+798,838807006027i</v>
      </c>
      <c r="AH436" s="32">
        <f t="shared" si="396"/>
        <v>798.839432914283</v>
      </c>
      <c r="AI436" s="32">
        <f t="shared" si="397"/>
        <v>1.56954451044737</v>
      </c>
      <c r="AJ436" s="32" t="str">
        <f t="shared" si="378"/>
        <v>1+14,9116577307792i</v>
      </c>
      <c r="AK436" s="32">
        <f t="shared" si="398"/>
        <v>14.9451509286426</v>
      </c>
      <c r="AL436" s="32">
        <f t="shared" si="399"/>
        <v>1.50383496254117</v>
      </c>
      <c r="AM436" s="32" t="str">
        <f t="shared" si="379"/>
        <v>1-2,46094262580801i</v>
      </c>
      <c r="AN436" s="32">
        <f t="shared" si="400"/>
        <v>2.65635814744903</v>
      </c>
      <c r="AO436" s="32">
        <f t="shared" si="401"/>
        <v>-1.18482923395672</v>
      </c>
      <c r="AP436" s="30" t="str">
        <f t="shared" si="402"/>
        <v>5,10105722584339-15,3796736560865i</v>
      </c>
      <c r="AQ436" s="32">
        <f t="shared" si="403"/>
        <v>24.1922053571894</v>
      </c>
      <c r="AR436" s="31">
        <f t="shared" si="404"/>
        <v>-71.6505943181757</v>
      </c>
      <c r="AS436" t="str">
        <f t="shared" si="380"/>
        <v>-0,000100699300699301</v>
      </c>
      <c r="AT436" t="str">
        <f t="shared" si="381"/>
        <v>0,213689380874112i</v>
      </c>
      <c r="AU436">
        <f t="shared" si="405"/>
        <v>0.213689380874112</v>
      </c>
      <c r="AV436">
        <f t="shared" si="406"/>
        <v>1.5707963267949</v>
      </c>
      <c r="AW436" t="str">
        <f t="shared" si="382"/>
        <v>1+10,9405043555989i</v>
      </c>
      <c r="AX436">
        <f t="shared" si="407"/>
        <v>10.9861110296082</v>
      </c>
      <c r="AY436">
        <f t="shared" si="408"/>
        <v>1.47964614027409</v>
      </c>
      <c r="AZ436" t="str">
        <f t="shared" si="383"/>
        <v>1+523,049218872993i</v>
      </c>
      <c r="BA436">
        <f t="shared" si="409"/>
        <v>523.050174805103</v>
      </c>
      <c r="BB436">
        <f t="shared" si="410"/>
        <v>1.56888446315853</v>
      </c>
      <c r="BC436" s="30" t="str">
        <f t="shared" si="411"/>
        <v>-0,00199948298338768+0,0223465937714874i</v>
      </c>
      <c r="BD436" s="32">
        <f t="shared" si="412"/>
        <v>-32.9811423683443</v>
      </c>
      <c r="BE436" s="31">
        <f t="shared" si="413"/>
        <v>95.1129792721043</v>
      </c>
      <c r="BF436" s="30" t="str">
        <f t="shared" si="414"/>
        <v>0,0129142924893067-0,0587025265979604i</v>
      </c>
      <c r="BG436" s="68">
        <f t="shared" si="415"/>
        <v>-24.4216021746315</v>
      </c>
      <c r="BH436" s="31">
        <f t="shared" si="416"/>
        <v>-77.5928266569515</v>
      </c>
      <c r="BI436" s="30" t="str">
        <f t="shared" si="423"/>
        <v>0,333483842410251+0,144742649396433i</v>
      </c>
      <c r="BJ436" s="68">
        <f t="shared" si="417"/>
        <v>-8.7889370111549</v>
      </c>
      <c r="BK436" s="31">
        <f t="shared" si="424"/>
        <v>23.4623849539285</v>
      </c>
      <c r="BL436" s="32">
        <f t="shared" si="418"/>
        <v>-24.4216021746315</v>
      </c>
      <c r="BM436" s="31">
        <f t="shared" si="419"/>
        <v>-77.5928266569515</v>
      </c>
      <c r="BO436">
        <f t="shared" si="420"/>
        <v>0</v>
      </c>
      <c r="BP436">
        <f t="shared" si="421"/>
        <v>0</v>
      </c>
    </row>
    <row r="437" spans="14:68">
      <c r="N437" s="7">
        <v>19</v>
      </c>
      <c r="O437" s="18">
        <f t="shared" si="422"/>
        <v>154881.661891248</v>
      </c>
      <c r="P437" s="86" t="str">
        <f t="shared" si="372"/>
        <v>60</v>
      </c>
      <c r="Q437" s="4" t="str">
        <f t="shared" si="373"/>
        <v>1+1271,58290493295i</v>
      </c>
      <c r="R437" s="4">
        <f t="shared" si="384"/>
        <v>1271.58329814359</v>
      </c>
      <c r="S437" s="4">
        <f t="shared" si="385"/>
        <v>1.57000990556356</v>
      </c>
      <c r="T437" s="4" t="str">
        <f t="shared" si="374"/>
        <v>1+15,2589948591954i</v>
      </c>
      <c r="U437" s="4">
        <f t="shared" si="386"/>
        <v>15.2917273096584</v>
      </c>
      <c r="V437" s="4">
        <f t="shared" si="387"/>
        <v>1.50535479083947</v>
      </c>
      <c r="W437" t="str">
        <f t="shared" si="375"/>
        <v>1-21,2876602388329i</v>
      </c>
      <c r="X437" s="4">
        <f t="shared" si="388"/>
        <v>21.3111350810788</v>
      </c>
      <c r="Y437" s="4">
        <f t="shared" si="389"/>
        <v>-1.5238552636124</v>
      </c>
      <c r="Z437" t="str">
        <f t="shared" si="376"/>
        <v>0,804176904569837+5,68001943165594i</v>
      </c>
      <c r="AA437" s="4">
        <f t="shared" si="390"/>
        <v>5.73666464400984</v>
      </c>
      <c r="AB437" s="4">
        <f t="shared" si="391"/>
        <v>1.43015113791892</v>
      </c>
      <c r="AC437" s="67" t="str">
        <f t="shared" si="392"/>
        <v>-2,66023656122914-0,328683270784332i</v>
      </c>
      <c r="AD437" s="68">
        <f t="shared" si="393"/>
        <v>8.56420199323272</v>
      </c>
      <c r="AE437" s="31">
        <f t="shared" si="394"/>
        <v>-172.956564659996</v>
      </c>
      <c r="AF437" s="32" t="str">
        <f t="shared" si="395"/>
        <v>326,048966736478</v>
      </c>
      <c r="AG437" s="32" t="str">
        <f t="shared" si="377"/>
        <v>1+817,446153171183i</v>
      </c>
      <c r="AH437" s="32">
        <f t="shared" si="396"/>
        <v>817.446764832038</v>
      </c>
      <c r="AI437" s="32">
        <f t="shared" si="397"/>
        <v>1.56957300523753</v>
      </c>
      <c r="AJ437" s="32" t="str">
        <f t="shared" si="378"/>
        <v>1+15,2589948591954i</v>
      </c>
      <c r="AK437" s="32">
        <f t="shared" si="398"/>
        <v>15.2917273096584</v>
      </c>
      <c r="AL437" s="32">
        <f t="shared" si="399"/>
        <v>1.50535479083947</v>
      </c>
      <c r="AM437" s="32" t="str">
        <f t="shared" si="379"/>
        <v>1-2,51826534339432i</v>
      </c>
      <c r="AN437" s="32">
        <f t="shared" si="400"/>
        <v>2.70954984079292</v>
      </c>
      <c r="AO437" s="32">
        <f t="shared" si="401"/>
        <v>-1.19279353356995</v>
      </c>
      <c r="AP437" s="30" t="str">
        <f t="shared" si="402"/>
        <v>5,10103458984507-15,7194085661068i</v>
      </c>
      <c r="AQ437" s="32">
        <f t="shared" si="403"/>
        <v>24.3635407550705</v>
      </c>
      <c r="AR437" s="31">
        <f t="shared" si="404"/>
        <v>-72.0214679569291</v>
      </c>
      <c r="AS437" t="str">
        <f t="shared" si="380"/>
        <v>-0,000100699300699301</v>
      </c>
      <c r="AT437" t="str">
        <f t="shared" si="381"/>
        <v>0,218666845973291i</v>
      </c>
      <c r="AU437">
        <f t="shared" si="405"/>
        <v>0.218666845973291</v>
      </c>
      <c r="AV437">
        <f t="shared" si="406"/>
        <v>1.5707963267949</v>
      </c>
      <c r="AW437" t="str">
        <f t="shared" si="382"/>
        <v>1+11,1953414391014i</v>
      </c>
      <c r="AX437">
        <f t="shared" si="407"/>
        <v>11.2399141428243</v>
      </c>
      <c r="AY437">
        <f t="shared" si="408"/>
        <v>1.48170988490652</v>
      </c>
      <c r="AZ437" t="str">
        <f t="shared" si="383"/>
        <v>1+535,232600290655i</v>
      </c>
      <c r="BA437">
        <f t="shared" si="409"/>
        <v>535.233534463131</v>
      </c>
      <c r="BB437">
        <f t="shared" si="410"/>
        <v>1.56892798238559</v>
      </c>
      <c r="BC437" s="30" t="str">
        <f t="shared" si="411"/>
        <v>-0,00191020374607166+0,0218458978725622i</v>
      </c>
      <c r="BD437" s="32">
        <f t="shared" si="412"/>
        <v>-33.1795232828233</v>
      </c>
      <c r="BE437" s="31">
        <f t="shared" si="413"/>
        <v>94.9972288827116</v>
      </c>
      <c r="BF437" s="30" t="str">
        <f t="shared" si="414"/>
        <v>0,0122619750106709-0,0574874042183445i</v>
      </c>
      <c r="BG437" s="68">
        <f t="shared" si="415"/>
        <v>-24.6153212895906</v>
      </c>
      <c r="BH437" s="31">
        <f t="shared" si="416"/>
        <v>-77.9593357772845</v>
      </c>
      <c r="BI437" s="30" t="str">
        <f t="shared" si="423"/>
        <v>0,333660578769885+0,141463953823171i</v>
      </c>
      <c r="BJ437" s="68">
        <f t="shared" si="417"/>
        <v>-8.81598252775277</v>
      </c>
      <c r="BK437" s="31">
        <f t="shared" si="424"/>
        <v>22.9757609257825</v>
      </c>
      <c r="BL437" s="32">
        <f t="shared" si="418"/>
        <v>-24.6153212895906</v>
      </c>
      <c r="BM437" s="31">
        <f t="shared" si="419"/>
        <v>-77.9593357772845</v>
      </c>
      <c r="BO437">
        <f t="shared" si="420"/>
        <v>0</v>
      </c>
      <c r="BP437">
        <f t="shared" si="421"/>
        <v>0</v>
      </c>
    </row>
    <row r="438" spans="14:68">
      <c r="N438" s="7">
        <v>20</v>
      </c>
      <c r="O438" s="18">
        <f t="shared" si="422"/>
        <v>158489.319246112</v>
      </c>
      <c r="P438" s="86" t="str">
        <f t="shared" si="372"/>
        <v>60</v>
      </c>
      <c r="Q438" s="4" t="str">
        <f t="shared" si="373"/>
        <v>1+1301,2018757219i</v>
      </c>
      <c r="R438" s="4">
        <f t="shared" si="384"/>
        <v>1301.20225998197</v>
      </c>
      <c r="S438" s="4">
        <f t="shared" si="385"/>
        <v>1.57002780668915</v>
      </c>
      <c r="T438" s="4" t="str">
        <f t="shared" si="374"/>
        <v>1+15,6144225086628i</v>
      </c>
      <c r="U438" s="4">
        <f t="shared" si="386"/>
        <v>15.6464114185661</v>
      </c>
      <c r="V438" s="4">
        <f t="shared" si="387"/>
        <v>1.50684031622825</v>
      </c>
      <c r="W438" t="str">
        <f t="shared" si="375"/>
        <v>1-21,7835135444514i</v>
      </c>
      <c r="X438" s="4">
        <f t="shared" si="388"/>
        <v>21.8064546027386</v>
      </c>
      <c r="Y438" s="4">
        <f t="shared" si="389"/>
        <v>-1.52492225681249</v>
      </c>
      <c r="Z438" t="str">
        <f t="shared" si="376"/>
        <v>0,794948046407378+5,81232408043207i</v>
      </c>
      <c r="AA438" s="4">
        <f t="shared" si="390"/>
        <v>5.86643448889165</v>
      </c>
      <c r="AB438" s="4">
        <f t="shared" si="391"/>
        <v>1.43487028346322</v>
      </c>
      <c r="AC438" s="67" t="str">
        <f t="shared" si="392"/>
        <v>-2,66299161215089-0,317354097628017i</v>
      </c>
      <c r="AD438" s="68">
        <f t="shared" si="393"/>
        <v>8.56864047262156</v>
      </c>
      <c r="AE438" s="31">
        <f t="shared" si="394"/>
        <v>-173.203997313536</v>
      </c>
      <c r="AF438" s="32" t="str">
        <f t="shared" si="395"/>
        <v>326,048966736478</v>
      </c>
      <c r="AG438" s="32" t="str">
        <f t="shared" si="377"/>
        <v>1+836,486920106936i</v>
      </c>
      <c r="AH438" s="32">
        <f t="shared" si="396"/>
        <v>836.4875178447</v>
      </c>
      <c r="AI438" s="32">
        <f t="shared" si="397"/>
        <v>1.569600851409</v>
      </c>
      <c r="AJ438" s="32" t="str">
        <f t="shared" si="378"/>
        <v>1+15,6144225086628i</v>
      </c>
      <c r="AK438" s="32">
        <f t="shared" si="398"/>
        <v>15.6464114185661</v>
      </c>
      <c r="AL438" s="32">
        <f t="shared" si="399"/>
        <v>1.50684031622825</v>
      </c>
      <c r="AM438" s="32" t="str">
        <f t="shared" si="379"/>
        <v>1-2,57692327859891i</v>
      </c>
      <c r="AN438" s="32">
        <f t="shared" si="400"/>
        <v>2.76415151245096</v>
      </c>
      <c r="AO438" s="32">
        <f t="shared" si="401"/>
        <v>-1.2006255253482</v>
      </c>
      <c r="AP438" s="30" t="str">
        <f t="shared" si="402"/>
        <v>5,10101297263154-16,0674781121268i</v>
      </c>
      <c r="AQ438" s="32">
        <f t="shared" si="403"/>
        <v>24.5359990742728</v>
      </c>
      <c r="AR438" s="31">
        <f t="shared" si="404"/>
        <v>-72.3866891639684</v>
      </c>
      <c r="AS438" t="str">
        <f t="shared" si="380"/>
        <v>-0,000100699300699301</v>
      </c>
      <c r="AT438" t="str">
        <f t="shared" si="381"/>
        <v>0,223760251128605i</v>
      </c>
      <c r="AU438">
        <f t="shared" si="405"/>
        <v>0.223760251128605</v>
      </c>
      <c r="AV438">
        <f t="shared" si="406"/>
        <v>1.5707963267949</v>
      </c>
      <c r="AW438" t="str">
        <f t="shared" si="382"/>
        <v>1+11,4561144408228i</v>
      </c>
      <c r="AX438">
        <f t="shared" si="407"/>
        <v>11.4996764337623</v>
      </c>
      <c r="AY438">
        <f t="shared" si="408"/>
        <v>1.48372738844973</v>
      </c>
      <c r="AZ438" t="str">
        <f t="shared" si="383"/>
        <v>1+547,699769117636i</v>
      </c>
      <c r="BA438">
        <f t="shared" si="409"/>
        <v>547.700682025787</v>
      </c>
      <c r="BB438">
        <f t="shared" si="410"/>
        <v>1.56897051100094</v>
      </c>
      <c r="BC438" s="30" t="str">
        <f t="shared" si="411"/>
        <v>-0,00182488053376829+0,0213560723579682i</v>
      </c>
      <c r="BD438" s="32">
        <f t="shared" si="412"/>
        <v>-33.3779765039838</v>
      </c>
      <c r="BE438" s="31">
        <f t="shared" si="413"/>
        <v>94.8840711547012</v>
      </c>
      <c r="BF438" s="30" t="str">
        <f t="shared" si="414"/>
        <v>0,011637078626644-0,0562919082426838i</v>
      </c>
      <c r="BG438" s="68">
        <f t="shared" si="415"/>
        <v>-24.8093360313622</v>
      </c>
      <c r="BH438" s="31">
        <f t="shared" si="416"/>
        <v>-78.3199261588353</v>
      </c>
      <c r="BI438" s="30" t="str">
        <f t="shared" si="423"/>
        <v>0,333829485896395+0,138258830176022i</v>
      </c>
      <c r="BJ438" s="68">
        <f t="shared" si="417"/>
        <v>-8.84197742971096</v>
      </c>
      <c r="BK438" s="31">
        <f t="shared" si="424"/>
        <v>22.4973819907328</v>
      </c>
      <c r="BL438" s="32">
        <f t="shared" si="418"/>
        <v>-24.8093360313622</v>
      </c>
      <c r="BM438" s="31">
        <f t="shared" si="419"/>
        <v>-78.3199261588353</v>
      </c>
      <c r="BO438">
        <f t="shared" si="420"/>
        <v>0</v>
      </c>
      <c r="BP438">
        <f t="shared" si="421"/>
        <v>0</v>
      </c>
    </row>
    <row r="439" spans="14:68">
      <c r="N439" s="7">
        <v>21</v>
      </c>
      <c r="O439" s="18">
        <f t="shared" si="422"/>
        <v>162181.009735893</v>
      </c>
      <c r="P439" s="86" t="str">
        <f t="shared" si="372"/>
        <v>60</v>
      </c>
      <c r="Q439" s="4" t="str">
        <f t="shared" si="373"/>
        <v>1+1331,51076096878i</v>
      </c>
      <c r="R439" s="4">
        <f t="shared" si="384"/>
        <v>1331.51113648203</v>
      </c>
      <c r="S439" s="4">
        <f t="shared" si="385"/>
        <v>1.57004530033585</v>
      </c>
      <c r="T439" s="4" t="str">
        <f t="shared" si="374"/>
        <v>1+15,9781291316254i</v>
      </c>
      <c r="U439" s="4">
        <f t="shared" si="386"/>
        <v>16.0093913234356</v>
      </c>
      <c r="V439" s="4">
        <f t="shared" si="387"/>
        <v>1.50829230011206</v>
      </c>
      <c r="W439" t="str">
        <f t="shared" si="375"/>
        <v>1-22,2909167572899i</v>
      </c>
      <c r="X439" s="4">
        <f t="shared" si="388"/>
        <v>22.3133361441186</v>
      </c>
      <c r="Y439" s="4">
        <f t="shared" si="389"/>
        <v>-1.52596506329406</v>
      </c>
      <c r="Z439" t="str">
        <f t="shared" si="376"/>
        <v>0,785284245559561+5,94771050037078i</v>
      </c>
      <c r="AA439" s="4">
        <f t="shared" si="390"/>
        <v>5.99932759086757</v>
      </c>
      <c r="AB439" s="4">
        <f t="shared" si="391"/>
        <v>1.43952425349863</v>
      </c>
      <c r="AC439" s="67" t="str">
        <f t="shared" si="392"/>
        <v>-2,66561590871836-0,306149645232248i</v>
      </c>
      <c r="AD439" s="68">
        <f t="shared" si="393"/>
        <v>8.57286397129242</v>
      </c>
      <c r="AE439" s="31">
        <f t="shared" si="394"/>
        <v>-173.448208328449</v>
      </c>
      <c r="AF439" s="32" t="str">
        <f t="shared" si="395"/>
        <v>326,048966736478</v>
      </c>
      <c r="AG439" s="32" t="str">
        <f t="shared" si="377"/>
        <v>1+855,971203479933i</v>
      </c>
      <c r="AH439" s="32">
        <f t="shared" si="396"/>
        <v>855.971787611534</v>
      </c>
      <c r="AI439" s="32">
        <f t="shared" si="397"/>
        <v>1.56962806372601</v>
      </c>
      <c r="AJ439" s="32" t="str">
        <f t="shared" si="378"/>
        <v>1+15,9781291316254i</v>
      </c>
      <c r="AK439" s="32">
        <f t="shared" si="398"/>
        <v>16.0093913234356</v>
      </c>
      <c r="AL439" s="32">
        <f t="shared" si="399"/>
        <v>1.50829230011206</v>
      </c>
      <c r="AM439" s="32" t="str">
        <f t="shared" si="379"/>
        <v>1-2,63694753263539i</v>
      </c>
      <c r="AN439" s="32">
        <f t="shared" si="400"/>
        <v>2.8201936617672</v>
      </c>
      <c r="AO439" s="32">
        <f t="shared" si="401"/>
        <v>-1.20832551756764</v>
      </c>
      <c r="AP439" s="30" t="str">
        <f t="shared" si="402"/>
        <v>5,10099232835017-16,424066845393i</v>
      </c>
      <c r="AQ439" s="32">
        <f t="shared" si="403"/>
        <v>24.709542600574</v>
      </c>
      <c r="AR439" s="31">
        <f t="shared" si="404"/>
        <v>-72.7462328228782</v>
      </c>
      <c r="AS439" t="str">
        <f t="shared" si="380"/>
        <v>-0,000100699300699301</v>
      </c>
      <c r="AT439" t="str">
        <f t="shared" si="381"/>
        <v>0,228972296930882i</v>
      </c>
      <c r="AU439">
        <f t="shared" si="405"/>
        <v>0.228972296930882</v>
      </c>
      <c r="AV439">
        <f t="shared" si="406"/>
        <v>1.5707963267949</v>
      </c>
      <c r="AW439" t="str">
        <f t="shared" si="382"/>
        <v>1+11,7229616260603i</v>
      </c>
      <c r="AX439">
        <f t="shared" si="407"/>
        <v>11.7655356565726</v>
      </c>
      <c r="AY439">
        <f t="shared" si="408"/>
        <v>1.4856996548793</v>
      </c>
      <c r="AZ439" t="str">
        <f t="shared" si="383"/>
        <v>1+560,45733561186i</v>
      </c>
      <c r="BA439">
        <f t="shared" si="409"/>
        <v>560.458227739717</v>
      </c>
      <c r="BB439">
        <f t="shared" si="410"/>
        <v>1.5690120715532</v>
      </c>
      <c r="BC439" s="30" t="str">
        <f t="shared" si="411"/>
        <v>-0,00174334070845984+0,0208769043669499i</v>
      </c>
      <c r="BD439" s="32">
        <f t="shared" si="412"/>
        <v>-33.5764988267628</v>
      </c>
      <c r="BE439" s="31">
        <f t="shared" si="413"/>
        <v>94.7734498564498</v>
      </c>
      <c r="BF439" s="30" t="str">
        <f t="shared" si="414"/>
        <v>0,0110385335922762-0,0551160852659195i</v>
      </c>
      <c r="BG439" s="68">
        <f t="shared" si="415"/>
        <v>-25.0036348554704</v>
      </c>
      <c r="BH439" s="31">
        <f t="shared" si="416"/>
        <v>-78.6747584719994</v>
      </c>
      <c r="BI439" s="30" t="str">
        <f t="shared" si="423"/>
        <v>0,333990905268108+0,135125673345551i</v>
      </c>
      <c r="BJ439" s="68">
        <f t="shared" si="417"/>
        <v>-8.86695622618883</v>
      </c>
      <c r="BK439" s="31">
        <f t="shared" si="424"/>
        <v>22.0272170335716</v>
      </c>
      <c r="BL439" s="32">
        <f t="shared" si="418"/>
        <v>-25.0036348554704</v>
      </c>
      <c r="BM439" s="31">
        <f t="shared" si="419"/>
        <v>-78.6747584719994</v>
      </c>
      <c r="BO439">
        <f t="shared" si="420"/>
        <v>0</v>
      </c>
      <c r="BP439">
        <f t="shared" si="421"/>
        <v>0</v>
      </c>
    </row>
    <row r="440" spans="14:68">
      <c r="N440" s="7">
        <v>22</v>
      </c>
      <c r="O440" s="18">
        <f t="shared" si="422"/>
        <v>165958.690743756</v>
      </c>
      <c r="P440" s="86" t="str">
        <f t="shared" si="372"/>
        <v>60</v>
      </c>
      <c r="Q440" s="4" t="str">
        <f t="shared" si="373"/>
        <v>1+1362,52563084577i</v>
      </c>
      <c r="R440" s="4">
        <f t="shared" si="384"/>
        <v>1362.52599781129</v>
      </c>
      <c r="S440" s="4">
        <f t="shared" si="385"/>
        <v>1.57006239577899</v>
      </c>
      <c r="T440" s="4" t="str">
        <f t="shared" si="374"/>
        <v>1+16,3503075701493i</v>
      </c>
      <c r="U440" s="4">
        <f t="shared" si="386"/>
        <v>16.3808594902246</v>
      </c>
      <c r="V440" s="4">
        <f t="shared" si="387"/>
        <v>1.50971148784892</v>
      </c>
      <c r="W440" t="str">
        <f t="shared" si="375"/>
        <v>1-22,8101389092485i</v>
      </c>
      <c r="X440" s="4">
        <f t="shared" si="388"/>
        <v>22.8320484639292</v>
      </c>
      <c r="Y440" s="4">
        <f t="shared" si="389"/>
        <v>-1.52698422688978</v>
      </c>
      <c r="Z440" t="str">
        <f t="shared" si="376"/>
        <v>0,775165003809128+6,08625047514409i</v>
      </c>
      <c r="AA440" s="4">
        <f t="shared" si="390"/>
        <v>6.1354156851286</v>
      </c>
      <c r="AB440" s="4">
        <f t="shared" si="391"/>
        <v>1.44411506205557</v>
      </c>
      <c r="AC440" s="67" t="str">
        <f t="shared" si="392"/>
        <v>-2,66811403975431-0,295066788468767i</v>
      </c>
      <c r="AD440" s="68">
        <f t="shared" si="393"/>
        <v>8.57688046402384</v>
      </c>
      <c r="AE440" s="31">
        <f t="shared" si="394"/>
        <v>-173.689302085063</v>
      </c>
      <c r="AF440" s="32" t="str">
        <f t="shared" si="395"/>
        <v>326,048966736478</v>
      </c>
      <c r="AG440" s="32" t="str">
        <f t="shared" si="377"/>
        <v>1+875,909334115142i</v>
      </c>
      <c r="AH440" s="32">
        <f t="shared" si="396"/>
        <v>875.909904950293</v>
      </c>
      <c r="AI440" s="32">
        <f t="shared" si="397"/>
        <v>1.56965465661674</v>
      </c>
      <c r="AJ440" s="32" t="str">
        <f t="shared" si="378"/>
        <v>1+16,3503075701493i</v>
      </c>
      <c r="AK440" s="32">
        <f t="shared" si="398"/>
        <v>16.3808594902246</v>
      </c>
      <c r="AL440" s="32">
        <f t="shared" si="399"/>
        <v>1.50971148784892</v>
      </c>
      <c r="AM440" s="32" t="str">
        <f t="shared" si="379"/>
        <v>1-2,69836993115783i</v>
      </c>
      <c r="AN440" s="32">
        <f t="shared" si="400"/>
        <v>2.8777074704314</v>
      </c>
      <c r="AO440" s="32">
        <f t="shared" si="401"/>
        <v>-1.21589393959828</v>
      </c>
      <c r="AP440" s="30" t="str">
        <f t="shared" si="402"/>
        <v>5,10097261321203-16,7893638341276i</v>
      </c>
      <c r="AQ440" s="32">
        <f t="shared" si="403"/>
        <v>24.8841344020319</v>
      </c>
      <c r="AR440" s="31">
        <f t="shared" si="404"/>
        <v>-73.1000816555522</v>
      </c>
      <c r="AS440" t="str">
        <f t="shared" si="380"/>
        <v>-0,000100699300699301</v>
      </c>
      <c r="AT440" t="str">
        <f t="shared" si="381"/>
        <v>0,2343057468758i</v>
      </c>
      <c r="AU440">
        <f t="shared" si="405"/>
        <v>0.2343057468758</v>
      </c>
      <c r="AV440">
        <f t="shared" si="406"/>
        <v>1.5707963267949</v>
      </c>
      <c r="AW440" t="str">
        <f t="shared" si="382"/>
        <v>1+11,9960244807237i</v>
      </c>
      <c r="AX440">
        <f t="shared" si="407"/>
        <v>12.0376327964481</v>
      </c>
      <c r="AY440">
        <f t="shared" si="408"/>
        <v>1.48762766850863</v>
      </c>
      <c r="AZ440" t="str">
        <f t="shared" si="383"/>
        <v>1+573,512064003961i</v>
      </c>
      <c r="BA440">
        <f t="shared" si="409"/>
        <v>573.51293582454</v>
      </c>
      <c r="BB440">
        <f t="shared" si="410"/>
        <v>1.56905268607775</v>
      </c>
      <c r="BC440" s="30" t="str">
        <f t="shared" si="411"/>
        <v>-0,00166541893364408+0,0204081836389126i</v>
      </c>
      <c r="BD440" s="32">
        <f t="shared" si="412"/>
        <v>-33.7750871860605</v>
      </c>
      <c r="BE440" s="31">
        <f t="shared" si="413"/>
        <v>94.6653098534894</v>
      </c>
      <c r="BF440" s="30" t="str">
        <f t="shared" si="414"/>
        <v>0,0104653048437432-0,0539599514766615i</v>
      </c>
      <c r="BG440" s="68">
        <f t="shared" si="415"/>
        <v>-25.1982067220367</v>
      </c>
      <c r="BH440" s="31">
        <f t="shared" si="416"/>
        <v>-79.023992231574</v>
      </c>
      <c r="BI440" s="30" t="str">
        <f t="shared" si="423"/>
        <v>0,334145163937351+0,13206291024069i</v>
      </c>
      <c r="BJ440" s="68">
        <f t="shared" si="417"/>
        <v>-8.89095278402861</v>
      </c>
      <c r="BK440" s="31">
        <f t="shared" si="424"/>
        <v>21.5652281979371</v>
      </c>
      <c r="BL440" s="32">
        <f t="shared" si="418"/>
        <v>-25.1982067220367</v>
      </c>
      <c r="BM440" s="31">
        <f t="shared" si="419"/>
        <v>-79.023992231574</v>
      </c>
      <c r="BO440">
        <f t="shared" si="420"/>
        <v>0</v>
      </c>
      <c r="BP440">
        <f t="shared" si="421"/>
        <v>0</v>
      </c>
    </row>
    <row r="441" spans="14:68">
      <c r="N441" s="7">
        <v>23</v>
      </c>
      <c r="O441" s="18">
        <f t="shared" si="422"/>
        <v>169824.365246175</v>
      </c>
      <c r="P441" s="86" t="str">
        <f t="shared" si="372"/>
        <v>60</v>
      </c>
      <c r="Q441" s="4" t="str">
        <f t="shared" si="373"/>
        <v>1+1394,2629298474i</v>
      </c>
      <c r="R441" s="4">
        <f t="shared" si="384"/>
        <v>1394.26328845977</v>
      </c>
      <c r="S441" s="4">
        <f t="shared" si="385"/>
        <v>1.57007910208274</v>
      </c>
      <c r="T441" s="4" t="str">
        <f t="shared" si="374"/>
        <v>1+16,7311551581689i</v>
      </c>
      <c r="U441" s="4">
        <f t="shared" si="386"/>
        <v>16.7610128848683</v>
      </c>
      <c r="V441" s="4">
        <f t="shared" si="387"/>
        <v>1.51109860903105</v>
      </c>
      <c r="W441" t="str">
        <f t="shared" si="375"/>
        <v>1-23,3414552987847i</v>
      </c>
      <c r="X441" s="4">
        <f t="shared" si="388"/>
        <v>23.362866593489</v>
      </c>
      <c r="Y441" s="4">
        <f t="shared" si="389"/>
        <v>-1.52798027950005</v>
      </c>
      <c r="Z441" t="str">
        <f t="shared" si="376"/>
        <v>0,76456885688762+6,2280174604804i</v>
      </c>
      <c r="AA441" s="4">
        <f t="shared" si="390"/>
        <v>6.27477226877368</v>
      </c>
      <c r="AB441" s="4">
        <f t="shared" si="391"/>
        <v>1.44864471771118</v>
      </c>
      <c r="AC441" s="67" t="str">
        <f t="shared" si="392"/>
        <v>-2,67049040837951-0,284102300709505i</v>
      </c>
      <c r="AD441" s="68">
        <f t="shared" si="393"/>
        <v>8.58069757031819</v>
      </c>
      <c r="AE441" s="31">
        <f t="shared" si="394"/>
        <v>-173.927382858806</v>
      </c>
      <c r="AF441" s="32" t="str">
        <f t="shared" si="395"/>
        <v>326,048966736478</v>
      </c>
      <c r="AG441" s="32" t="str">
        <f t="shared" si="377"/>
        <v>1+896,311883473331i</v>
      </c>
      <c r="AH441" s="32">
        <f t="shared" si="396"/>
        <v>896.312441314696</v>
      </c>
      <c r="AI441" s="32">
        <f t="shared" si="397"/>
        <v>1.56968064418093</v>
      </c>
      <c r="AJ441" s="32" t="str">
        <f t="shared" si="378"/>
        <v>1+16,7311551581689i</v>
      </c>
      <c r="AK441" s="32">
        <f t="shared" si="398"/>
        <v>16.7610128848683</v>
      </c>
      <c r="AL441" s="32">
        <f t="shared" si="399"/>
        <v>1.51109860903105</v>
      </c>
      <c r="AM441" s="32" t="str">
        <f t="shared" si="379"/>
        <v>1-2,76122304113493i</v>
      </c>
      <c r="AN441" s="32">
        <f t="shared" si="400"/>
        <v>2.9367248224671</v>
      </c>
      <c r="AO441" s="32">
        <f t="shared" si="401"/>
        <v>-1.22333133510409</v>
      </c>
      <c r="AP441" s="30" t="str">
        <f t="shared" si="402"/>
        <v>5,10095378539904-17,163562763774i</v>
      </c>
      <c r="AQ441" s="32">
        <f t="shared" si="403"/>
        <v>25.0597383512152</v>
      </c>
      <c r="AR441" s="31">
        <f t="shared" si="404"/>
        <v>-73.4482258169441</v>
      </c>
      <c r="AS441" t="str">
        <f t="shared" si="380"/>
        <v>-0,000100699300699301</v>
      </c>
      <c r="AT441" t="str">
        <f t="shared" si="381"/>
        <v>0,239763428829115i</v>
      </c>
      <c r="AU441">
        <f t="shared" si="405"/>
        <v>0.239763428829115</v>
      </c>
      <c r="AV441">
        <f t="shared" si="406"/>
        <v>1.5707963267949</v>
      </c>
      <c r="AW441" t="str">
        <f t="shared" si="382"/>
        <v>1+12,275447786353i</v>
      </c>
      <c r="AX441">
        <f t="shared" si="407"/>
        <v>12.3161121444829</v>
      </c>
      <c r="AY441">
        <f t="shared" si="408"/>
        <v>1.4895123942291</v>
      </c>
      <c r="AZ441" t="str">
        <f t="shared" si="383"/>
        <v>1+586,870876083728i</v>
      </c>
      <c r="BA441">
        <f t="shared" si="409"/>
        <v>586.871728059277</v>
      </c>
      <c r="BB441">
        <f t="shared" si="410"/>
        <v>1.56909237610841</v>
      </c>
      <c r="BC441" s="30" t="str">
        <f t="shared" si="411"/>
        <v>-0,00159095688594367+0,0199497025973631i</v>
      </c>
      <c r="BD441" s="32">
        <f t="shared" si="412"/>
        <v>-33.9737386508123</v>
      </c>
      <c r="BE441" s="31">
        <f t="shared" si="413"/>
        <v>94.5595970954116</v>
      </c>
      <c r="BF441" s="30" t="str">
        <f t="shared" si="414"/>
        <v>0,00991639151043915-0,0528234949246557i</v>
      </c>
      <c r="BG441" s="68">
        <f t="shared" si="415"/>
        <v>-25.3930410804941</v>
      </c>
      <c r="BH441" s="31">
        <f t="shared" si="416"/>
        <v>-79.3677857633947</v>
      </c>
      <c r="BI441" s="30" t="str">
        <f t="shared" si="423"/>
        <v>0,334292575098706+0,129068999347957i</v>
      </c>
      <c r="BJ441" s="68">
        <f t="shared" si="417"/>
        <v>-8.91400029959701</v>
      </c>
      <c r="BK441" s="31">
        <f t="shared" si="424"/>
        <v>21.1113712784675</v>
      </c>
      <c r="BL441" s="32">
        <f t="shared" si="418"/>
        <v>-25.3930410804941</v>
      </c>
      <c r="BM441" s="31">
        <f t="shared" si="419"/>
        <v>-79.3677857633947</v>
      </c>
      <c r="BO441">
        <f t="shared" si="420"/>
        <v>0</v>
      </c>
      <c r="BP441">
        <f t="shared" si="421"/>
        <v>0</v>
      </c>
    </row>
    <row r="442" spans="14:68">
      <c r="N442" s="7">
        <v>24</v>
      </c>
      <c r="O442" s="18">
        <f t="shared" si="422"/>
        <v>173780.082874938</v>
      </c>
      <c r="P442" s="86" t="str">
        <f t="shared" si="372"/>
        <v>60</v>
      </c>
      <c r="Q442" s="4" t="str">
        <f t="shared" si="373"/>
        <v>1+1426,73948550967i</v>
      </c>
      <c r="R442" s="4">
        <f t="shared" si="384"/>
        <v>1426.73983595903</v>
      </c>
      <c r="S442" s="4">
        <f t="shared" si="385"/>
        <v>1.57009542810498</v>
      </c>
      <c r="T442" s="4" t="str">
        <f t="shared" si="374"/>
        <v>1+17,1208738261161i</v>
      </c>
      <c r="U442" s="4">
        <f t="shared" si="386"/>
        <v>17.1500530777542</v>
      </c>
      <c r="V442" s="4">
        <f t="shared" si="387"/>
        <v>1.51245437776464</v>
      </c>
      <c r="W442" t="str">
        <f t="shared" si="375"/>
        <v>1-23,8851476368807i</v>
      </c>
      <c r="X442" s="4">
        <f t="shared" si="388"/>
        <v>23.9060719825652</v>
      </c>
      <c r="Y442" s="4">
        <f t="shared" si="389"/>
        <v>-1.52895374133502</v>
      </c>
      <c r="Z442" t="str">
        <f t="shared" si="376"/>
        <v>0,753473328946772+6,37308662311173i</v>
      </c>
      <c r="AA442" s="4">
        <f t="shared" si="390"/>
        <v>6.41747264607492</v>
      </c>
      <c r="AB442" s="4">
        <f t="shared" si="391"/>
        <v>1.45311522290711</v>
      </c>
      <c r="AC442" s="67" t="str">
        <f t="shared" si="392"/>
        <v>-2,67274923476025-0,273252861825455i</v>
      </c>
      <c r="AD442" s="68">
        <f t="shared" si="393"/>
        <v>8.58432256361963</v>
      </c>
      <c r="AE442" s="31">
        <f t="shared" si="394"/>
        <v>-174.162554779225</v>
      </c>
      <c r="AF442" s="32" t="str">
        <f t="shared" si="395"/>
        <v>326,048966736478</v>
      </c>
      <c r="AG442" s="32" t="str">
        <f t="shared" si="377"/>
        <v>1+917,189669256219i</v>
      </c>
      <c r="AH442" s="32">
        <f t="shared" si="396"/>
        <v>917.190214399572</v>
      </c>
      <c r="AI442" s="32">
        <f t="shared" si="397"/>
        <v>1.56970604019739</v>
      </c>
      <c r="AJ442" s="32" t="str">
        <f t="shared" si="378"/>
        <v>1+17,1208738261161i</v>
      </c>
      <c r="AK442" s="32">
        <f t="shared" si="398"/>
        <v>17.1500530777542</v>
      </c>
      <c r="AL442" s="32">
        <f t="shared" si="399"/>
        <v>1.51245437776464</v>
      </c>
      <c r="AM442" s="32" t="str">
        <f t="shared" si="379"/>
        <v>1-2,82554018811751i</v>
      </c>
      <c r="AN442" s="32">
        <f t="shared" si="400"/>
        <v>2.99727832452496</v>
      </c>
      <c r="AO442" s="32">
        <f t="shared" si="401"/>
        <v>-1.2306383553232</v>
      </c>
      <c r="AP442" s="30" t="str">
        <f t="shared" si="402"/>
        <v>5,10093580497514-17,5468620396927i</v>
      </c>
      <c r="AQ442" s="32">
        <f t="shared" si="403"/>
        <v>25.2363191437187</v>
      </c>
      <c r="AR442" s="31">
        <f t="shared" si="404"/>
        <v>-73.7906624944452</v>
      </c>
      <c r="AS442" t="str">
        <f t="shared" si="380"/>
        <v>-0,000100699300699301</v>
      </c>
      <c r="AT442" t="str">
        <f t="shared" si="381"/>
        <v>0,245348236526039i</v>
      </c>
      <c r="AU442">
        <f t="shared" si="405"/>
        <v>0.245348236526039</v>
      </c>
      <c r="AV442">
        <f t="shared" si="406"/>
        <v>1.5707963267949</v>
      </c>
      <c r="AW442" t="str">
        <f t="shared" si="382"/>
        <v>1+12,5613796968833i</v>
      </c>
      <c r="AX442">
        <f t="shared" si="407"/>
        <v>12.6011213742774</v>
      </c>
      <c r="AY442">
        <f t="shared" si="408"/>
        <v>1.4913547777582</v>
      </c>
      <c r="AZ442" t="str">
        <f t="shared" si="383"/>
        <v>1+600,540854870142i</v>
      </c>
      <c r="BA442">
        <f t="shared" si="409"/>
        <v>600.541687452387</v>
      </c>
      <c r="BB442">
        <f t="shared" si="410"/>
        <v>1.56913116268885</v>
      </c>
      <c r="BC442" s="30" t="str">
        <f t="shared" si="411"/>
        <v>-0,00151980297628074+0,0195012564231016i</v>
      </c>
      <c r="BD442" s="32">
        <f t="shared" si="412"/>
        <v>-34.1724504182949</v>
      </c>
      <c r="BE442" s="31">
        <f t="shared" si="413"/>
        <v>94.4562586023113</v>
      </c>
      <c r="BF442" s="30" t="str">
        <f t="shared" si="414"/>
        <v>0,00939082636864525-0,0517066776690287i</v>
      </c>
      <c r="BG442" s="68">
        <f t="shared" si="415"/>
        <v>-25.5881278546753</v>
      </c>
      <c r="BH442" s="31">
        <f t="shared" si="416"/>
        <v>-79.7062961769141</v>
      </c>
      <c r="BI442" s="30" t="str">
        <f t="shared" si="423"/>
        <v>0,334433438638617+0,126142430282913i</v>
      </c>
      <c r="BJ442" s="68">
        <f t="shared" si="417"/>
        <v>-8.93613127457627</v>
      </c>
      <c r="BK442" s="31">
        <f t="shared" si="424"/>
        <v>20.6655961078661</v>
      </c>
      <c r="BL442" s="32">
        <f t="shared" si="418"/>
        <v>-25.5881278546753</v>
      </c>
      <c r="BM442" s="31">
        <f t="shared" si="419"/>
        <v>-79.7062961769141</v>
      </c>
      <c r="BO442">
        <f t="shared" si="420"/>
        <v>0</v>
      </c>
      <c r="BP442">
        <f t="shared" si="421"/>
        <v>0</v>
      </c>
    </row>
    <row r="443" spans="14:68">
      <c r="N443" s="7">
        <v>25</v>
      </c>
      <c r="O443" s="18">
        <f t="shared" si="422"/>
        <v>177827.941003893</v>
      </c>
      <c r="P443" s="86" t="str">
        <f t="shared" si="372"/>
        <v>60</v>
      </c>
      <c r="Q443" s="4" t="str">
        <f t="shared" si="373"/>
        <v>1+1459,9725173323i</v>
      </c>
      <c r="R443" s="4">
        <f t="shared" si="384"/>
        <v>1459.97285980446</v>
      </c>
      <c r="S443" s="4">
        <f t="shared" si="385"/>
        <v>1.57011138250194</v>
      </c>
      <c r="T443" s="4" t="str">
        <f t="shared" si="374"/>
        <v>1+17,5196702079876i</v>
      </c>
      <c r="U443" s="4">
        <f t="shared" si="386"/>
        <v>17.548186350636</v>
      </c>
      <c r="V443" s="4">
        <f t="shared" si="387"/>
        <v>1.51377949294855</v>
      </c>
      <c r="W443" t="str">
        <f t="shared" si="375"/>
        <v>1-24,4415041964113i</v>
      </c>
      <c r="X443" s="4">
        <f t="shared" si="388"/>
        <v>24.4619526486172</v>
      </c>
      <c r="Y443" s="4">
        <f t="shared" si="389"/>
        <v>-1.52990512115299</v>
      </c>
      <c r="Z443" t="str">
        <f t="shared" si="376"/>
        <v>0,74185488488421+6,52153488062848i</v>
      </c>
      <c r="AA443" s="4">
        <f t="shared" si="390"/>
        <v>6.56359397506279</v>
      </c>
      <c r="AB443" s="4">
        <f t="shared" si="391"/>
        <v>1.45752857336031</v>
      </c>
      <c r="AC443" s="67" t="str">
        <f t="shared" si="392"/>
        <v>-2,67489455898292-0,262515065686307i</v>
      </c>
      <c r="AD443" s="68">
        <f t="shared" si="393"/>
        <v>8.58776238036352</v>
      </c>
      <c r="AE443" s="31">
        <f t="shared" si="394"/>
        <v>-174.394921794193</v>
      </c>
      <c r="AF443" s="32" t="str">
        <f t="shared" si="395"/>
        <v>326,048966736478</v>
      </c>
      <c r="AG443" s="32" t="str">
        <f t="shared" si="377"/>
        <v>1+938,553761142195i</v>
      </c>
      <c r="AH443" s="32">
        <f t="shared" si="396"/>
        <v>938.554293876577</v>
      </c>
      <c r="AI443" s="32">
        <f t="shared" si="397"/>
        <v>1.56973085813131</v>
      </c>
      <c r="AJ443" s="32" t="str">
        <f t="shared" si="378"/>
        <v>1+17,5196702079876i</v>
      </c>
      <c r="AK443" s="32">
        <f t="shared" si="398"/>
        <v>17.548186350636</v>
      </c>
      <c r="AL443" s="32">
        <f t="shared" si="399"/>
        <v>1.51377949294855</v>
      </c>
      <c r="AM443" s="32" t="str">
        <f t="shared" si="379"/>
        <v>1-2,8913554739083i</v>
      </c>
      <c r="AN443" s="32">
        <f t="shared" si="400"/>
        <v>3.05940132648521</v>
      </c>
      <c r="AO443" s="32">
        <f t="shared" si="401"/>
        <v>-1.2378157524519</v>
      </c>
      <c r="AP443" s="30" t="str">
        <f t="shared" si="402"/>
        <v>5,10091863380172-17,9394648923601i</v>
      </c>
      <c r="AQ443" s="32">
        <f t="shared" si="403"/>
        <v>25.4138423131559</v>
      </c>
      <c r="AR443" s="31">
        <f t="shared" si="404"/>
        <v>-74.1273955132713</v>
      </c>
      <c r="AS443" t="str">
        <f t="shared" si="380"/>
        <v>-0,000100699300699301</v>
      </c>
      <c r="AT443" t="str">
        <f t="shared" si="381"/>
        <v>0,251063131105537i</v>
      </c>
      <c r="AU443">
        <f t="shared" si="405"/>
        <v>0.251063131105537</v>
      </c>
      <c r="AV443">
        <f t="shared" si="406"/>
        <v>1.5707963267949</v>
      </c>
      <c r="AW443" t="str">
        <f t="shared" si="382"/>
        <v>1+12,8539718171985i</v>
      </c>
      <c r="AX443">
        <f t="shared" si="407"/>
        <v>12.8928116203307</v>
      </c>
      <c r="AY443">
        <f t="shared" si="408"/>
        <v>1.4931557458942</v>
      </c>
      <c r="AZ443" t="str">
        <f t="shared" si="383"/>
        <v>1+614,529248366912i</v>
      </c>
      <c r="BA443">
        <f t="shared" si="409"/>
        <v>614.530061997297</v>
      </c>
      <c r="BB443">
        <f t="shared" si="410"/>
        <v>1.56916906638378</v>
      </c>
      <c r="BC443" s="30" t="str">
        <f t="shared" si="411"/>
        <v>-0,00145181208047105+0,0190626431174234i</v>
      </c>
      <c r="BD443" s="32">
        <f t="shared" si="412"/>
        <v>-34.3712198086614</v>
      </c>
      <c r="BE443" s="31">
        <f t="shared" si="413"/>
        <v>94.3552424508283</v>
      </c>
      <c r="BF443" s="30" t="str">
        <f t="shared" si="414"/>
        <v>0,00888767524484272-0,05060943781096i</v>
      </c>
      <c r="BG443" s="68">
        <f t="shared" si="415"/>
        <v>-25.7834574282979</v>
      </c>
      <c r="BH443" s="31">
        <f t="shared" si="416"/>
        <v>-80.0396793433649</v>
      </c>
      <c r="BI443" s="30" t="str">
        <f t="shared" si="423"/>
        <v>0,334568041666554+0,123281723335092i</v>
      </c>
      <c r="BJ443" s="68">
        <f t="shared" si="417"/>
        <v>-8.95737749550556</v>
      </c>
      <c r="BK443" s="31">
        <f t="shared" si="424"/>
        <v>20.227846937557</v>
      </c>
      <c r="BL443" s="32">
        <f t="shared" si="418"/>
        <v>-25.7834574282979</v>
      </c>
      <c r="BM443" s="31">
        <f t="shared" si="419"/>
        <v>-80.0396793433649</v>
      </c>
      <c r="BO443">
        <f t="shared" si="420"/>
        <v>0</v>
      </c>
      <c r="BP443">
        <f t="shared" si="421"/>
        <v>0</v>
      </c>
    </row>
    <row r="444" spans="14:68">
      <c r="N444" s="7">
        <v>26</v>
      </c>
      <c r="O444" s="18">
        <f t="shared" si="422"/>
        <v>181970.085860999</v>
      </c>
      <c r="P444" s="86" t="str">
        <f t="shared" si="372"/>
        <v>60</v>
      </c>
      <c r="Q444" s="4" t="str">
        <f t="shared" si="373"/>
        <v>1+1493,97964590864i</v>
      </c>
      <c r="R444" s="4">
        <f t="shared" si="384"/>
        <v>1493.97998058518</v>
      </c>
      <c r="S444" s="4">
        <f t="shared" si="385"/>
        <v>1.57012697373283</v>
      </c>
      <c r="T444" s="4" t="str">
        <f t="shared" si="374"/>
        <v>1+17,9277557509037i</v>
      </c>
      <c r="U444" s="4">
        <f t="shared" si="386"/>
        <v>17.9556238060408</v>
      </c>
      <c r="V444" s="4">
        <f t="shared" si="387"/>
        <v>1.51507463855139</v>
      </c>
      <c r="W444" t="str">
        <f t="shared" si="375"/>
        <v>1-25,0108199649884i</v>
      </c>
      <c r="X444" s="4">
        <f t="shared" si="388"/>
        <v>25.0308033295191</v>
      </c>
      <c r="Y444" s="4">
        <f t="shared" si="389"/>
        <v>-1.53083491649528</v>
      </c>
      <c r="Z444" t="str">
        <f t="shared" si="376"/>
        <v>0,72968888042237+6,67344094226163i</v>
      </c>
      <c r="AA444" s="4">
        <f t="shared" si="390"/>
        <v>6.71321531548526</v>
      </c>
      <c r="AB444" s="4">
        <f t="shared" si="391"/>
        <v>1.46188675756143</v>
      </c>
      <c r="AC444" s="67" t="str">
        <f t="shared" si="392"/>
        <v>-2,67693024402541-0,251885427180046i</v>
      </c>
      <c r="AD444" s="68">
        <f t="shared" si="393"/>
        <v>8.59102362883397</v>
      </c>
      <c r="AE444" s="31">
        <f t="shared" si="394"/>
        <v>-174.624587639012</v>
      </c>
      <c r="AF444" s="32" t="str">
        <f t="shared" si="395"/>
        <v>326,048966736478</v>
      </c>
      <c r="AG444" s="32" t="str">
        <f t="shared" si="377"/>
        <v>1+960,415486655554i</v>
      </c>
      <c r="AH444" s="32">
        <f t="shared" si="396"/>
        <v>960.416007263428</v>
      </c>
      <c r="AI444" s="32">
        <f t="shared" si="397"/>
        <v>1.56975511114134</v>
      </c>
      <c r="AJ444" s="32" t="str">
        <f t="shared" si="378"/>
        <v>1+17,9277557509037i</v>
      </c>
      <c r="AK444" s="32">
        <f t="shared" si="398"/>
        <v>17.9556238060408</v>
      </c>
      <c r="AL444" s="32">
        <f t="shared" si="399"/>
        <v>1.51507463855139</v>
      </c>
      <c r="AM444" s="32" t="str">
        <f t="shared" si="379"/>
        <v>1-2,95870379464297i</v>
      </c>
      <c r="AN444" s="32">
        <f t="shared" si="400"/>
        <v>3.12312794237359</v>
      </c>
      <c r="AO444" s="32">
        <f t="shared" si="401"/>
        <v>-1.24486437315358</v>
      </c>
      <c r="AP444" s="30" t="str">
        <f t="shared" si="402"/>
        <v>5,10090223545675-18,341579485123i</v>
      </c>
      <c r="AQ444" s="32">
        <f t="shared" si="403"/>
        <v>25.5922742428254</v>
      </c>
      <c r="AR444" s="31">
        <f t="shared" si="404"/>
        <v>-74.4584349490839</v>
      </c>
      <c r="AS444" t="str">
        <f t="shared" si="380"/>
        <v>-0,000100699300699301</v>
      </c>
      <c r="AT444" t="str">
        <f t="shared" si="381"/>
        <v>0,25691114268036i</v>
      </c>
      <c r="AU444">
        <f t="shared" si="405"/>
        <v>0.25691114268036</v>
      </c>
      <c r="AV444">
        <f t="shared" si="406"/>
        <v>1.5707963267949</v>
      </c>
      <c r="AW444" t="str">
        <f t="shared" si="382"/>
        <v>1+13,1533792835135i</v>
      </c>
      <c r="AX444">
        <f t="shared" si="407"/>
        <v>13.19133755826</v>
      </c>
      <c r="AY444">
        <f t="shared" si="408"/>
        <v>1.49491620677683</v>
      </c>
      <c r="AZ444" t="str">
        <f t="shared" si="383"/>
        <v>1+628,843473405421i</v>
      </c>
      <c r="BA444">
        <f t="shared" si="409"/>
        <v>628.844268515341</v>
      </c>
      <c r="BB444">
        <f t="shared" si="410"/>
        <v>1.56920610728979</v>
      </c>
      <c r="BC444" s="30" t="str">
        <f t="shared" si="411"/>
        <v>-0,00138684527907493+0,018633663556047i</v>
      </c>
      <c r="BD444" s="32">
        <f t="shared" si="412"/>
        <v>-34.5700442596934</v>
      </c>
      <c r="BE444" s="31">
        <f t="shared" si="413"/>
        <v>94.2564977598393</v>
      </c>
      <c r="BF444" s="30" t="str">
        <f t="shared" si="414"/>
        <v>0,00840603637608369-0,0495316914146239i</v>
      </c>
      <c r="BG444" s="68">
        <f t="shared" si="415"/>
        <v>-25.9790206308595</v>
      </c>
      <c r="BH444" s="31">
        <f t="shared" si="416"/>
        <v>-80.3680898791731</v>
      </c>
      <c r="BI444" s="30" t="str">
        <f t="shared" si="423"/>
        <v>0,33469665902801+0,12048542900751i</v>
      </c>
      <c r="BJ444" s="68">
        <f t="shared" si="417"/>
        <v>-8.97777001686799</v>
      </c>
      <c r="BK444" s="31">
        <f t="shared" si="424"/>
        <v>19.7980628107554</v>
      </c>
      <c r="BL444" s="32">
        <f t="shared" si="418"/>
        <v>-25.9790206308595</v>
      </c>
      <c r="BM444" s="31">
        <f t="shared" si="419"/>
        <v>-80.3680898791731</v>
      </c>
      <c r="BO444">
        <f t="shared" si="420"/>
        <v>0</v>
      </c>
      <c r="BP444">
        <f t="shared" si="421"/>
        <v>0</v>
      </c>
    </row>
    <row r="445" spans="14:68">
      <c r="N445" s="7">
        <v>27</v>
      </c>
      <c r="O445" s="18">
        <f t="shared" si="422"/>
        <v>186208.713666287</v>
      </c>
      <c r="P445" s="86" t="str">
        <f t="shared" si="372"/>
        <v>60</v>
      </c>
      <c r="Q445" s="4" t="str">
        <f t="shared" si="373"/>
        <v>1+1528,77890226839i</v>
      </c>
      <c r="R445" s="4">
        <f t="shared" si="384"/>
        <v>1528.77922932677</v>
      </c>
      <c r="S445" s="4">
        <f t="shared" si="385"/>
        <v>1.57014221006429</v>
      </c>
      <c r="T445" s="4" t="str">
        <f t="shared" si="374"/>
        <v>1+18,3453468272207i</v>
      </c>
      <c r="U445" s="4">
        <f t="shared" si="386"/>
        <v>18.3725814792319</v>
      </c>
      <c r="V445" s="4">
        <f t="shared" si="387"/>
        <v>1.51634048388681</v>
      </c>
      <c r="W445" t="str">
        <f t="shared" si="375"/>
        <v>1-25,5933968013682i</v>
      </c>
      <c r="X445" s="4">
        <f t="shared" si="388"/>
        <v>25.6129256398461</v>
      </c>
      <c r="Y445" s="4">
        <f t="shared" si="389"/>
        <v>-1.53174361391742</v>
      </c>
      <c r="Z445" t="str">
        <f t="shared" si="376"/>
        <v>0,716949509834664+6,8288853506158i</v>
      </c>
      <c r="AA445" s="4">
        <f t="shared" si="390"/>
        <v>6.86641767820071</v>
      </c>
      <c r="AB445" s="4">
        <f t="shared" si="391"/>
        <v>1.46619175635603</v>
      </c>
      <c r="AC445" s="67" t="str">
        <f t="shared" si="392"/>
        <v>-2,67885997879705-0,241360388771802i</v>
      </c>
      <c r="AD445" s="68">
        <f t="shared" si="393"/>
        <v>8.59411259780705</v>
      </c>
      <c r="AE445" s="31">
        <f t="shared" si="394"/>
        <v>-174.851655810147</v>
      </c>
      <c r="AF445" s="32" t="str">
        <f t="shared" si="395"/>
        <v>326,048966736478</v>
      </c>
      <c r="AG445" s="32" t="str">
        <f t="shared" si="377"/>
        <v>1+982,786437172538i</v>
      </c>
      <c r="AH445" s="32">
        <f t="shared" si="396"/>
        <v>982.786945929936</v>
      </c>
      <c r="AI445" s="32">
        <f t="shared" si="397"/>
        <v>1.56977881208665</v>
      </c>
      <c r="AJ445" s="32" t="str">
        <f t="shared" si="378"/>
        <v>1+18,3453468272207i</v>
      </c>
      <c r="AK445" s="32">
        <f t="shared" si="398"/>
        <v>18.3725814792319</v>
      </c>
      <c r="AL445" s="32">
        <f t="shared" si="399"/>
        <v>1.51634048388681</v>
      </c>
      <c r="AM445" s="32" t="str">
        <f t="shared" si="379"/>
        <v>1-3,02762085929262i</v>
      </c>
      <c r="AN445" s="32">
        <f t="shared" si="400"/>
        <v>3.18849307159727</v>
      </c>
      <c r="AO445" s="32">
        <f t="shared" si="401"/>
        <v>-1.25178515221112</v>
      </c>
      <c r="AP445" s="30" t="str">
        <f t="shared" si="402"/>
        <v>5,10088657515727-18,753419024571i</v>
      </c>
      <c r="AQ445" s="32">
        <f t="shared" si="403"/>
        <v>25.7715821742533</v>
      </c>
      <c r="AR445" s="31">
        <f t="shared" si="404"/>
        <v>-74.7837967489243</v>
      </c>
      <c r="AS445" t="str">
        <f t="shared" si="380"/>
        <v>-0,000100699300699301</v>
      </c>
      <c r="AT445" t="str">
        <f t="shared" si="381"/>
        <v>0,262895371943653i</v>
      </c>
      <c r="AU445">
        <f t="shared" si="405"/>
        <v>0.262895371943653</v>
      </c>
      <c r="AV445">
        <f t="shared" si="406"/>
        <v>1.5707963267949</v>
      </c>
      <c r="AW445" t="str">
        <f t="shared" si="382"/>
        <v>1+13,4597608456302i</v>
      </c>
      <c r="AX445">
        <f t="shared" si="407"/>
        <v>13.4968574868952</v>
      </c>
      <c r="AY445">
        <f t="shared" si="408"/>
        <v>1.49663705015289</v>
      </c>
      <c r="AZ445" t="str">
        <f t="shared" si="383"/>
        <v>1+643,491119577256i</v>
      </c>
      <c r="BA445">
        <f t="shared" si="409"/>
        <v>643.491896588287</v>
      </c>
      <c r="BB445">
        <f t="shared" si="410"/>
        <v>1.56924230504606</v>
      </c>
      <c r="BC445" s="30" t="str">
        <f t="shared" si="411"/>
        <v>-0,00132476960632898+0,0182141215344407i</v>
      </c>
      <c r="BD445" s="32">
        <f t="shared" si="412"/>
        <v>-34.7689213217667</v>
      </c>
      <c r="BE445" s="31">
        <f t="shared" si="413"/>
        <v>94.1599746758505</v>
      </c>
      <c r="BF445" s="30" t="str">
        <f t="shared" si="414"/>
        <v>0,00794503973421089-0,0484733343203421i</v>
      </c>
      <c r="BG445" s="68">
        <f t="shared" si="415"/>
        <v>-26.1748087239596</v>
      </c>
      <c r="BH445" s="31">
        <f t="shared" si="416"/>
        <v>-80.6916811342961</v>
      </c>
      <c r="BI445" s="30" t="str">
        <f t="shared" si="423"/>
        <v>0,334819553799729+0,117752127551815i</v>
      </c>
      <c r="BJ445" s="68">
        <f t="shared" si="417"/>
        <v>-8.99733914751339</v>
      </c>
      <c r="BK445" s="31">
        <f t="shared" si="424"/>
        <v>19.3761779269262</v>
      </c>
      <c r="BL445" s="32">
        <f t="shared" si="418"/>
        <v>-26.1748087239596</v>
      </c>
      <c r="BM445" s="31">
        <f t="shared" si="419"/>
        <v>-80.6916811342961</v>
      </c>
      <c r="BO445">
        <f t="shared" si="420"/>
        <v>0</v>
      </c>
      <c r="BP445">
        <f t="shared" si="421"/>
        <v>0</v>
      </c>
    </row>
    <row r="446" spans="14:68">
      <c r="N446" s="7">
        <v>28</v>
      </c>
      <c r="O446" s="18">
        <f t="shared" si="422"/>
        <v>190546.071796325</v>
      </c>
      <c r="P446" s="86" t="str">
        <f t="shared" si="372"/>
        <v>60</v>
      </c>
      <c r="Q446" s="4" t="str">
        <f t="shared" si="373"/>
        <v>1+1564,38873743791i</v>
      </c>
      <c r="R446" s="4">
        <f t="shared" si="384"/>
        <v>1564.38905705153</v>
      </c>
      <c r="S446" s="4">
        <f t="shared" si="385"/>
        <v>1.57015709957479</v>
      </c>
      <c r="T446" s="4" t="str">
        <f t="shared" si="374"/>
        <v>1+18,7726648492549i</v>
      </c>
      <c r="U446" s="4">
        <f t="shared" si="386"/>
        <v>18.7992804527846</v>
      </c>
      <c r="V446" s="4">
        <f t="shared" si="387"/>
        <v>1.51757768388682</v>
      </c>
      <c r="W446" t="str">
        <f t="shared" si="375"/>
        <v>1-26,1895435955007i</v>
      </c>
      <c r="X446" s="4">
        <f t="shared" si="388"/>
        <v>26.2086282308066</v>
      </c>
      <c r="Y446" s="4">
        <f t="shared" si="389"/>
        <v>-1.53263168921666</v>
      </c>
      <c r="Z446" t="str">
        <f t="shared" si="376"/>
        <v>0,703609751208075+6,98795052437384i</v>
      </c>
      <c r="AA446" s="4">
        <f t="shared" si="390"/>
        <v>7.02328407606383</v>
      </c>
      <c r="AB446" s="4">
        <f t="shared" si="391"/>
        <v>1.4704455426035</v>
      </c>
      <c r="AC446" s="67" t="str">
        <f t="shared" si="392"/>
        <v>-2,68068728122174-0,230936326621901i</v>
      </c>
      <c r="AD446" s="68">
        <f t="shared" si="393"/>
        <v>8.59703526496164</v>
      </c>
      <c r="AE446" s="31">
        <f t="shared" si="394"/>
        <v>-175.07622954331</v>
      </c>
      <c r="AF446" s="32" t="str">
        <f t="shared" si="395"/>
        <v>326,048966736478</v>
      </c>
      <c r="AG446" s="32" t="str">
        <f t="shared" si="377"/>
        <v>1+1005,67847406723i</v>
      </c>
      <c r="AH446" s="32">
        <f t="shared" si="396"/>
        <v>1005.6789712439</v>
      </c>
      <c r="AI446" s="32">
        <f t="shared" si="397"/>
        <v>1.56980197353368</v>
      </c>
      <c r="AJ446" s="32" t="str">
        <f t="shared" si="378"/>
        <v>1+18,7726648492549i</v>
      </c>
      <c r="AK446" s="32">
        <f t="shared" si="398"/>
        <v>18.7992804527846</v>
      </c>
      <c r="AL446" s="32">
        <f t="shared" si="399"/>
        <v>1.51757768388682</v>
      </c>
      <c r="AM446" s="32" t="str">
        <f t="shared" si="379"/>
        <v>1-3,09814320859717i</v>
      </c>
      <c r="AN446" s="32">
        <f t="shared" si="400"/>
        <v>3.25553242050771</v>
      </c>
      <c r="AO446" s="32">
        <f t="shared" si="401"/>
        <v>-1.25857910633864</v>
      </c>
      <c r="AP446" s="30" t="str">
        <f t="shared" si="402"/>
        <v>5,10087161968595-19,175201873582i</v>
      </c>
      <c r="AQ446" s="32">
        <f t="shared" si="403"/>
        <v>25.9517342128118</v>
      </c>
      <c r="AR446" s="31">
        <f t="shared" si="404"/>
        <v>-75.1035023613849</v>
      </c>
      <c r="AS446" t="str">
        <f t="shared" si="380"/>
        <v>-0,000100699300699301</v>
      </c>
      <c r="AT446" t="str">
        <f t="shared" si="381"/>
        <v>0,269018991812982i</v>
      </c>
      <c r="AU446">
        <f t="shared" si="405"/>
        <v>0.269018991812982</v>
      </c>
      <c r="AV446">
        <f t="shared" si="406"/>
        <v>1.5707963267949</v>
      </c>
      <c r="AW446" t="str">
        <f t="shared" si="382"/>
        <v>1+13,7732789511083i</v>
      </c>
      <c r="AX446">
        <f t="shared" si="407"/>
        <v>13.809533412286</v>
      </c>
      <c r="AY446">
        <f t="shared" si="408"/>
        <v>1.49831914764599</v>
      </c>
      <c r="AZ446" t="str">
        <f t="shared" si="383"/>
        <v>1+658,479953258302i</v>
      </c>
      <c r="BA446">
        <f t="shared" si="409"/>
        <v>658.480712582423</v>
      </c>
      <c r="BB446">
        <f t="shared" si="410"/>
        <v>1.56927767884474</v>
      </c>
      <c r="BC446" s="30" t="str">
        <f t="shared" si="411"/>
        <v>-0,00126545780797017+0,0178038238051835i</v>
      </c>
      <c r="BD446" s="32">
        <f t="shared" si="412"/>
        <v>-34.9678486530198</v>
      </c>
      <c r="BE446" s="31">
        <f t="shared" si="413"/>
        <v>94.0656243581359</v>
      </c>
      <c r="BF446" s="30" t="str">
        <f t="shared" si="414"/>
        <v>0,00750384632014101-0,0474342438540006i</v>
      </c>
      <c r="BG446" s="68">
        <f t="shared" si="415"/>
        <v>-26.3708133880581</v>
      </c>
      <c r="BH446" s="31">
        <f t="shared" si="416"/>
        <v>-81.0106051851745</v>
      </c>
      <c r="BI446" s="30" t="str">
        <f t="shared" si="423"/>
        <v>0,334936977767493+0,115080428500078i</v>
      </c>
      <c r="BJ446" s="68">
        <f t="shared" si="417"/>
        <v>-9.01611444020796</v>
      </c>
      <c r="BK446" s="31">
        <f t="shared" si="424"/>
        <v>18.962121996751</v>
      </c>
      <c r="BL446" s="32">
        <f t="shared" si="418"/>
        <v>-26.3708133880581</v>
      </c>
      <c r="BM446" s="31">
        <f t="shared" si="419"/>
        <v>-81.0106051851745</v>
      </c>
      <c r="BO446">
        <f t="shared" si="420"/>
        <v>0</v>
      </c>
      <c r="BP446">
        <f t="shared" si="421"/>
        <v>0</v>
      </c>
    </row>
    <row r="447" spans="14:68">
      <c r="N447" s="7">
        <v>29</v>
      </c>
      <c r="O447" s="18">
        <f t="shared" si="422"/>
        <v>194984.459975805</v>
      </c>
      <c r="P447" s="86" t="str">
        <f t="shared" si="372"/>
        <v>60</v>
      </c>
      <c r="Q447" s="4" t="str">
        <f t="shared" si="373"/>
        <v>1+1600,82803222314i</v>
      </c>
      <c r="R447" s="4">
        <f t="shared" si="384"/>
        <v>1600.82834456147</v>
      </c>
      <c r="S447" s="4">
        <f t="shared" si="385"/>
        <v>1.57017165015893</v>
      </c>
      <c r="T447" s="4" t="str">
        <f t="shared" si="374"/>
        <v>1+19,2099363866777i</v>
      </c>
      <c r="U447" s="4">
        <f t="shared" si="386"/>
        <v>19.2359469738353</v>
      </c>
      <c r="V447" s="4">
        <f t="shared" si="387"/>
        <v>1.51878687937274</v>
      </c>
      <c r="W447" t="str">
        <f t="shared" si="375"/>
        <v>1-26,799576432307i</v>
      </c>
      <c r="X447" s="4">
        <f t="shared" si="388"/>
        <v>26.8182269539033</v>
      </c>
      <c r="Y447" s="4">
        <f t="shared" si="389"/>
        <v>-1.53349960765584</v>
      </c>
      <c r="Z447" t="str">
        <f t="shared" si="376"/>
        <v>0,689641309126072+7,15072080199633i</v>
      </c>
      <c r="AA447" s="4">
        <f t="shared" si="390"/>
        <v>7.1838995763691</v>
      </c>
      <c r="AB447" s="4">
        <f t="shared" si="391"/>
        <v>1.47465008090924</v>
      </c>
      <c r="AC447" s="67" t="str">
        <f t="shared" si="392"/>
        <v>-2,68241550134041-0,220609556282721i</v>
      </c>
      <c r="AD447" s="68">
        <f t="shared" si="393"/>
        <v>8.59979730503983</v>
      </c>
      <c r="AE447" s="31">
        <f t="shared" si="394"/>
        <v>-175.298411795668</v>
      </c>
      <c r="AF447" s="32" t="str">
        <f t="shared" si="395"/>
        <v>326,048966736478</v>
      </c>
      <c r="AG447" s="32" t="str">
        <f t="shared" si="377"/>
        <v>1+1029,10373500059i</v>
      </c>
      <c r="AH447" s="32">
        <f t="shared" si="396"/>
        <v>1029.10422086014</v>
      </c>
      <c r="AI447" s="32">
        <f t="shared" si="397"/>
        <v>1.56982460776285</v>
      </c>
      <c r="AJ447" s="32" t="str">
        <f t="shared" si="378"/>
        <v>1+19,2099363866777i</v>
      </c>
      <c r="AK447" s="32">
        <f t="shared" si="398"/>
        <v>19.2359469738353</v>
      </c>
      <c r="AL447" s="32">
        <f t="shared" si="399"/>
        <v>1.51878687937274</v>
      </c>
      <c r="AM447" s="32" t="str">
        <f t="shared" si="379"/>
        <v>1-3,17030823443968i</v>
      </c>
      <c r="AN447" s="32">
        <f t="shared" si="400"/>
        <v>3.32428252429844</v>
      </c>
      <c r="AO447" s="32">
        <f t="shared" si="401"/>
        <v>-1.26524732816614</v>
      </c>
      <c r="AP447" s="30" t="str">
        <f t="shared" si="402"/>
        <v>5,10085733732044-19,6071516671012i</v>
      </c>
      <c r="AQ447" s="32">
        <f t="shared" si="403"/>
        <v>26.1326993306174</v>
      </c>
      <c r="AR447" s="31">
        <f t="shared" si="404"/>
        <v>-75.4175783768118</v>
      </c>
      <c r="AS447" t="str">
        <f t="shared" si="380"/>
        <v>-0,000100699300699301</v>
      </c>
      <c r="AT447" t="str">
        <f t="shared" si="381"/>
        <v>0,275285249112658i</v>
      </c>
      <c r="AU447">
        <f t="shared" si="405"/>
        <v>0.275285249112658</v>
      </c>
      <c r="AV447">
        <f t="shared" si="406"/>
        <v>1.5707963267949</v>
      </c>
      <c r="AW447" t="str">
        <f t="shared" si="382"/>
        <v>1+14,094099831397i</v>
      </c>
      <c r="AX447">
        <f t="shared" si="407"/>
        <v>14.1295311336712</v>
      </c>
      <c r="AY447">
        <f t="shared" si="408"/>
        <v>1.49996335302983</v>
      </c>
      <c r="AZ447" t="str">
        <f t="shared" si="383"/>
        <v>1+673,817921726575i</v>
      </c>
      <c r="BA447">
        <f t="shared" si="409"/>
        <v>673.818663766388</v>
      </c>
      <c r="BB447">
        <f t="shared" si="410"/>
        <v>1.56931224744112</v>
      </c>
      <c r="BC447" s="30" t="str">
        <f t="shared" si="411"/>
        <v>-0,00120878810775494+0,0174025801079541i</v>
      </c>
      <c r="BD447" s="32">
        <f t="shared" si="412"/>
        <v>-35.1668240147205</v>
      </c>
      <c r="BE447" s="31">
        <f t="shared" si="413"/>
        <v>93.9733989636653</v>
      </c>
      <c r="BF447" s="30" t="str">
        <f t="shared" si="414"/>
        <v>0,00708164743386805-0,0464142804368027i</v>
      </c>
      <c r="BG447" s="68">
        <f t="shared" si="415"/>
        <v>-26.5670267096807</v>
      </c>
      <c r="BH447" s="31">
        <f t="shared" si="416"/>
        <v>-81.325012832003</v>
      </c>
      <c r="BI447" s="30" t="str">
        <f t="shared" si="423"/>
        <v>0,335049171886827+0,112468970194104i</v>
      </c>
      <c r="BJ447" s="68">
        <f t="shared" si="417"/>
        <v>-9.03412468410315</v>
      </c>
      <c r="BK447" s="31">
        <f t="shared" si="424"/>
        <v>18.5558205868535</v>
      </c>
      <c r="BL447" s="32">
        <f t="shared" si="418"/>
        <v>-26.5670267096807</v>
      </c>
      <c r="BM447" s="31">
        <f t="shared" si="419"/>
        <v>-81.325012832003</v>
      </c>
      <c r="BO447">
        <f t="shared" si="420"/>
        <v>0</v>
      </c>
      <c r="BP447">
        <f t="shared" si="421"/>
        <v>0</v>
      </c>
    </row>
    <row r="448" spans="14:68">
      <c r="N448" s="7">
        <v>30</v>
      </c>
      <c r="O448" s="18">
        <f t="shared" si="422"/>
        <v>199526.231496888</v>
      </c>
      <c r="P448" s="86" t="str">
        <f t="shared" si="372"/>
        <v>60</v>
      </c>
      <c r="Q448" s="4" t="str">
        <f t="shared" si="373"/>
        <v>1+1638,11610722053i</v>
      </c>
      <c r="R448" s="4">
        <f t="shared" si="384"/>
        <v>1638.11641244917</v>
      </c>
      <c r="S448" s="4">
        <f t="shared" si="385"/>
        <v>1.5701858695316</v>
      </c>
      <c r="T448" s="4" t="str">
        <f t="shared" si="374"/>
        <v>1+19,6573932866464i</v>
      </c>
      <c r="U448" s="4">
        <f t="shared" si="386"/>
        <v>19.682812574068</v>
      </c>
      <c r="V448" s="4">
        <f t="shared" si="387"/>
        <v>1.51996869732376</v>
      </c>
      <c r="W448" t="str">
        <f t="shared" si="375"/>
        <v>1-27,4238187592723i</v>
      </c>
      <c r="X448" s="4">
        <f t="shared" si="388"/>
        <v>27.4420450284124</v>
      </c>
      <c r="Y448" s="4">
        <f t="shared" si="389"/>
        <v>-1.53434782418353</v>
      </c>
      <c r="Z448" t="str">
        <f t="shared" si="376"/>
        <v>0,675014554650205+7,31728248643907i</v>
      </c>
      <c r="AA448" s="4">
        <f t="shared" si="390"/>
        <v>7.34835135491884</v>
      </c>
      <c r="AB448" s="4">
        <f t="shared" si="391"/>
        <v>1.47880732742556</v>
      </c>
      <c r="AC448" s="67" t="str">
        <f t="shared" si="392"/>
        <v>-2,68404782441162-0,210376337994292i</v>
      </c>
      <c r="AD448" s="68">
        <f t="shared" si="393"/>
        <v>8.60240409774288</v>
      </c>
      <c r="AE448" s="31">
        <f t="shared" si="394"/>
        <v>-175.518305231893</v>
      </c>
      <c r="AF448" s="32" t="str">
        <f t="shared" si="395"/>
        <v>326,048966736478</v>
      </c>
      <c r="AG448" s="32" t="str">
        <f t="shared" si="377"/>
        <v>1+1053,07464035605i</v>
      </c>
      <c r="AH448" s="32">
        <f t="shared" si="396"/>
        <v>1053.0751151561</v>
      </c>
      <c r="AI448" s="32">
        <f t="shared" si="397"/>
        <v>1.56984672677501</v>
      </c>
      <c r="AJ448" s="32" t="str">
        <f t="shared" si="378"/>
        <v>1+19,6573932866464i</v>
      </c>
      <c r="AK448" s="32">
        <f t="shared" si="398"/>
        <v>19.682812574068</v>
      </c>
      <c r="AL448" s="32">
        <f t="shared" si="399"/>
        <v>1.51996869732376</v>
      </c>
      <c r="AM448" s="32" t="str">
        <f t="shared" si="379"/>
        <v>1-3,2441541996721i</v>
      </c>
      <c r="AN448" s="32">
        <f t="shared" si="400"/>
        <v>3.39478076924713</v>
      </c>
      <c r="AO448" s="32">
        <f t="shared" si="401"/>
        <v>-1.2717909804085</v>
      </c>
      <c r="AP448" s="30" t="str">
        <f t="shared" si="402"/>
        <v>5,1008436977661-20,0494974307161i</v>
      </c>
      <c r="AQ448" s="32">
        <f t="shared" si="403"/>
        <v>26.3144473669055</v>
      </c>
      <c r="AR448" s="31">
        <f t="shared" si="404"/>
        <v>-75.7260561781979</v>
      </c>
      <c r="AS448" t="str">
        <f t="shared" si="380"/>
        <v>-0,000100699300699301</v>
      </c>
      <c r="AT448" t="str">
        <f t="shared" si="381"/>
        <v>0,281697466295244i</v>
      </c>
      <c r="AU448">
        <f t="shared" si="405"/>
        <v>0.281697466295244</v>
      </c>
      <c r="AV448">
        <f t="shared" si="406"/>
        <v>1.5707963267949</v>
      </c>
      <c r="AW448" t="str">
        <f t="shared" si="382"/>
        <v>1+14,4223935899739i</v>
      </c>
      <c r="AX448">
        <f t="shared" si="407"/>
        <v>14.4570203314556</v>
      </c>
      <c r="AY448">
        <f t="shared" si="408"/>
        <v>1.50157050250424</v>
      </c>
      <c r="AZ448" t="str">
        <f t="shared" si="383"/>
        <v>1+689,513157375987i</v>
      </c>
      <c r="BA448">
        <f t="shared" si="409"/>
        <v>689.51388252493</v>
      </c>
      <c r="BB448">
        <f t="shared" si="410"/>
        <v>1.56934602916362</v>
      </c>
      <c r="BC448" s="30" t="str">
        <f t="shared" si="411"/>
        <v>-0,00115464398246754+0,0170102031927088i</v>
      </c>
      <c r="BD448" s="32">
        <f t="shared" si="412"/>
        <v>-35.3658452668221</v>
      </c>
      <c r="BE448" s="31">
        <f t="shared" si="413"/>
        <v>93.8832516318587</v>
      </c>
      <c r="BF448" s="30" t="str">
        <f t="shared" si="414"/>
        <v>0,00667766392533286-0,045413289099471i</v>
      </c>
      <c r="BG448" s="68">
        <f t="shared" si="415"/>
        <v>-26.7634411690792</v>
      </c>
      <c r="BH448" s="31">
        <f t="shared" si="416"/>
        <v>-81.6350536000344</v>
      </c>
      <c r="BI448" s="30" t="str">
        <f t="shared" si="423"/>
        <v>0,335156366727041+0,109916419313124i</v>
      </c>
      <c r="BJ448" s="68">
        <f t="shared" si="417"/>
        <v>-9.05139789991659</v>
      </c>
      <c r="BK448" s="31">
        <f t="shared" si="424"/>
        <v>18.1571954536608</v>
      </c>
      <c r="BL448" s="32">
        <f t="shared" si="418"/>
        <v>-26.7634411690792</v>
      </c>
      <c r="BM448" s="31">
        <f t="shared" si="419"/>
        <v>-81.6350536000344</v>
      </c>
      <c r="BO448">
        <f t="shared" si="420"/>
        <v>0</v>
      </c>
      <c r="BP448">
        <f t="shared" si="421"/>
        <v>0</v>
      </c>
    </row>
    <row r="449" spans="14:68">
      <c r="N449" s="7">
        <v>31</v>
      </c>
      <c r="O449" s="18">
        <f t="shared" si="422"/>
        <v>204173.794466953</v>
      </c>
      <c r="P449" s="86" t="str">
        <f t="shared" si="372"/>
        <v>60</v>
      </c>
      <c r="Q449" s="4" t="str">
        <f t="shared" si="373"/>
        <v>1+1676,27273306099i</v>
      </c>
      <c r="R449" s="4">
        <f t="shared" si="384"/>
        <v>1676.27303134178</v>
      </c>
      <c r="S449" s="4">
        <f t="shared" si="385"/>
        <v>1.57019976523206</v>
      </c>
      <c r="T449" s="4" t="str">
        <f t="shared" si="374"/>
        <v>1+20,1152727967319i</v>
      </c>
      <c r="U449" s="4">
        <f t="shared" si="386"/>
        <v>20.1401141925001</v>
      </c>
      <c r="V449" s="4">
        <f t="shared" si="387"/>
        <v>1.52112375114282</v>
      </c>
      <c r="W449" t="str">
        <f t="shared" si="375"/>
        <v>1-28,0626015579407i</v>
      </c>
      <c r="X449" s="4">
        <f t="shared" si="388"/>
        <v>28.0804132127669</v>
      </c>
      <c r="Y449" s="4">
        <f t="shared" si="389"/>
        <v>-1.53517678365042</v>
      </c>
      <c r="Z449" t="str">
        <f t="shared" si="376"/>
        <v>0,659698462473196+7,48772389091177i</v>
      </c>
      <c r="AA449" s="4">
        <f t="shared" si="390"/>
        <v>7.51672875178561</v>
      </c>
      <c r="AB449" s="4">
        <f t="shared" si="391"/>
        <v>1.48291922971706</v>
      </c>
      <c r="AC449" s="67" t="str">
        <f t="shared" si="392"/>
        <v>-2,68558727399098-0,200232881598359i</v>
      </c>
      <c r="AD449" s="68">
        <f t="shared" si="393"/>
        <v>8.60486073535037</v>
      </c>
      <c r="AE449" s="31">
        <f t="shared" si="394"/>
        <v>-175.736012213854</v>
      </c>
      <c r="AF449" s="32" t="str">
        <f t="shared" si="395"/>
        <v>326,048966736478</v>
      </c>
      <c r="AG449" s="32" t="str">
        <f t="shared" si="377"/>
        <v>1+1077,60389982492i</v>
      </c>
      <c r="AH449" s="32">
        <f t="shared" si="396"/>
        <v>1077.6043638172</v>
      </c>
      <c r="AI449" s="32">
        <f t="shared" si="397"/>
        <v>1.56986834229789</v>
      </c>
      <c r="AJ449" s="32" t="str">
        <f t="shared" si="378"/>
        <v>1+20,1152727967319i</v>
      </c>
      <c r="AK449" s="32">
        <f t="shared" si="398"/>
        <v>20.1401141925001</v>
      </c>
      <c r="AL449" s="32">
        <f t="shared" si="399"/>
        <v>1.52112375114282</v>
      </c>
      <c r="AM449" s="32" t="str">
        <f t="shared" si="379"/>
        <v>1-3,31972025840263i</v>
      </c>
      <c r="AN449" s="32">
        <f t="shared" si="400"/>
        <v>3.46706541531146</v>
      </c>
      <c r="AO449" s="32">
        <f t="shared" si="401"/>
        <v>-1.27821129022791</v>
      </c>
      <c r="AP449" s="30" t="str">
        <f t="shared" si="402"/>
        <v>5,1008306720917-20,5024737020889i</v>
      </c>
      <c r="AQ449" s="32">
        <f t="shared" si="403"/>
        <v>26.4969490260786</v>
      </c>
      <c r="AR449" s="31">
        <f t="shared" si="404"/>
        <v>-76.0289716033072</v>
      </c>
      <c r="AS449" t="str">
        <f t="shared" si="380"/>
        <v>-0,000100699300699301</v>
      </c>
      <c r="AT449" t="str">
        <f t="shared" si="381"/>
        <v>0,288259043203168i</v>
      </c>
      <c r="AU449">
        <f t="shared" si="405"/>
        <v>0.288259043203168</v>
      </c>
      <c r="AV449">
        <f t="shared" si="406"/>
        <v>1.5707963267949</v>
      </c>
      <c r="AW449" t="str">
        <f t="shared" si="382"/>
        <v>1+14,7583342925352i</v>
      </c>
      <c r="AX449">
        <f t="shared" si="407"/>
        <v>14.7921746572375</v>
      </c>
      <c r="AY449">
        <f t="shared" si="408"/>
        <v>1.50314141497324</v>
      </c>
      <c r="AZ449" t="str">
        <f t="shared" si="383"/>
        <v>1+705,573982028222i</v>
      </c>
      <c r="BA449">
        <f t="shared" si="409"/>
        <v>705.574690670776</v>
      </c>
      <c r="BB449">
        <f t="shared" si="410"/>
        <v>1.56937904192342</v>
      </c>
      <c r="BC449" s="30" t="str">
        <f t="shared" si="411"/>
        <v>-0,00110291394520648+0,0166265088365731i</v>
      </c>
      <c r="BD449" s="32">
        <f t="shared" si="412"/>
        <v>-35.5649103637017</v>
      </c>
      <c r="BE449" s="31">
        <f t="shared" si="413"/>
        <v>93.7951364692072</v>
      </c>
      <c r="BF449" s="30" t="str">
        <f t="shared" si="414"/>
        <v>0,00629114543082132-0,0444311009049956i</v>
      </c>
      <c r="BG449" s="68">
        <f t="shared" si="415"/>
        <v>-26.9600496283514</v>
      </c>
      <c r="BH449" s="31">
        <f t="shared" si="416"/>
        <v>-81.9408757446469</v>
      </c>
      <c r="BI449" s="30" t="str">
        <f t="shared" si="423"/>
        <v>0,335258782899002+0,107421470400659i</v>
      </c>
      <c r="BJ449" s="68">
        <f t="shared" si="417"/>
        <v>-9.06796133762314</v>
      </c>
      <c r="BK449" s="31">
        <f t="shared" si="424"/>
        <v>17.7661648659</v>
      </c>
      <c r="BL449" s="32">
        <f t="shared" si="418"/>
        <v>-26.9600496283514</v>
      </c>
      <c r="BM449" s="31">
        <f t="shared" si="419"/>
        <v>-81.9408757446469</v>
      </c>
      <c r="BO449">
        <f t="shared" si="420"/>
        <v>0</v>
      </c>
      <c r="BP449">
        <f t="shared" si="421"/>
        <v>0</v>
      </c>
    </row>
    <row r="450" spans="14:68">
      <c r="N450" s="7">
        <v>32</v>
      </c>
      <c r="O450" s="18">
        <f t="shared" si="422"/>
        <v>208929.613085404</v>
      </c>
      <c r="P450" s="86" t="str">
        <f t="shared" si="372"/>
        <v>60</v>
      </c>
      <c r="Q450" s="4" t="str">
        <f t="shared" si="373"/>
        <v>1+1715,31814089263i</v>
      </c>
      <c r="R450" s="4">
        <f t="shared" si="384"/>
        <v>1715.31843238372</v>
      </c>
      <c r="S450" s="4">
        <f t="shared" si="385"/>
        <v>1.57021334462799</v>
      </c>
      <c r="T450" s="4" t="str">
        <f t="shared" si="374"/>
        <v>1+20,5838176907116i</v>
      </c>
      <c r="U450" s="4">
        <f t="shared" si="386"/>
        <v>20.6080943011345</v>
      </c>
      <c r="V450" s="4">
        <f t="shared" si="387"/>
        <v>1.52225264091962</v>
      </c>
      <c r="W450" t="str">
        <f t="shared" si="375"/>
        <v>1-28,7162635194078i</v>
      </c>
      <c r="X450" s="4">
        <f t="shared" si="388"/>
        <v>28.7336699799394</v>
      </c>
      <c r="Y450" s="4">
        <f t="shared" si="389"/>
        <v>-1.53598692102208</v>
      </c>
      <c r="Z450" t="str">
        <f t="shared" si="376"/>
        <v>0,643660545110065+7,66213538570324i</v>
      </c>
      <c r="AA450" s="4">
        <f t="shared" si="390"/>
        <v>7.68912332884427</v>
      </c>
      <c r="AB450" s="4">
        <f t="shared" si="391"/>
        <v>1.48698772668638</v>
      </c>
      <c r="AC450" s="67" t="str">
        <f t="shared" si="392"/>
        <v>-2,68703671497135-0,190175351090277i</v>
      </c>
      <c r="AD450" s="68">
        <f t="shared" si="393"/>
        <v>8.60717203005027</v>
      </c>
      <c r="AE450" s="31">
        <f t="shared" si="394"/>
        <v>-175.951634793709</v>
      </c>
      <c r="AF450" s="32" t="str">
        <f t="shared" si="395"/>
        <v>326,048966736478</v>
      </c>
      <c r="AG450" s="32" t="str">
        <f t="shared" si="377"/>
        <v>1+1102,70451914526i</v>
      </c>
      <c r="AH450" s="32">
        <f t="shared" si="396"/>
        <v>1102.70497257579</v>
      </c>
      <c r="AI450" s="32">
        <f t="shared" si="397"/>
        <v>1.56988946579224</v>
      </c>
      <c r="AJ450" s="32" t="str">
        <f t="shared" si="378"/>
        <v>1+20,5838176907116i</v>
      </c>
      <c r="AK450" s="32">
        <f t="shared" si="398"/>
        <v>20.6080943011345</v>
      </c>
      <c r="AL450" s="32">
        <f t="shared" si="399"/>
        <v>1.52225264091962</v>
      </c>
      <c r="AM450" s="32" t="str">
        <f t="shared" si="379"/>
        <v>1-3,39704647675588i</v>
      </c>
      <c r="AN450" s="32">
        <f t="shared" si="400"/>
        <v>3.5411756190903</v>
      </c>
      <c r="AO450" s="32">
        <f t="shared" si="401"/>
        <v>-1.28450954379718</v>
      </c>
      <c r="AP450" s="30" t="str">
        <f t="shared" si="402"/>
        <v>5,10081823266825-20,9663206553128i</v>
      </c>
      <c r="AQ450" s="32">
        <f t="shared" si="403"/>
        <v>26.6801758736185</v>
      </c>
      <c r="AR450" s="31">
        <f t="shared" si="404"/>
        <v>-76.3263646184582</v>
      </c>
      <c r="AS450" t="str">
        <f t="shared" si="380"/>
        <v>-0,000100699300699301</v>
      </c>
      <c r="AT450" t="str">
        <f t="shared" si="381"/>
        <v>0,294973458871357i</v>
      </c>
      <c r="AU450">
        <f t="shared" si="405"/>
        <v>0.294973458871357</v>
      </c>
      <c r="AV450">
        <f t="shared" si="406"/>
        <v>1.5707963267949</v>
      </c>
      <c r="AW450" t="str">
        <f t="shared" si="382"/>
        <v>1+15,1021000592881i</v>
      </c>
      <c r="AX450">
        <f t="shared" si="407"/>
        <v>15.1351718259407</v>
      </c>
      <c r="AY450">
        <f t="shared" si="408"/>
        <v>1.50467689232484</v>
      </c>
      <c r="AZ450" t="str">
        <f t="shared" si="383"/>
        <v>1+722,008911345111i</v>
      </c>
      <c r="BA450">
        <f t="shared" si="409"/>
        <v>722.009603857007</v>
      </c>
      <c r="BB450">
        <f t="shared" si="410"/>
        <v>1.56941130322406</v>
      </c>
      <c r="BC450" s="30" t="str">
        <f t="shared" si="411"/>
        <v>-0,00105349133673266+0,0162513158549408i</v>
      </c>
      <c r="BD450" s="32">
        <f t="shared" si="412"/>
        <v>-35.7640173500757</v>
      </c>
      <c r="BE450" s="31">
        <f t="shared" si="413"/>
        <v>93.7090085337906</v>
      </c>
      <c r="BF450" s="30" t="str">
        <f t="shared" si="414"/>
        <v>0,00592136959909726-0,0434675342839883i</v>
      </c>
      <c r="BG450" s="68">
        <f t="shared" si="415"/>
        <v>-27.1568453200254</v>
      </c>
      <c r="BH450" s="31">
        <f t="shared" si="416"/>
        <v>-82.2426262599187</v>
      </c>
      <c r="BI450" s="30" t="str">
        <f t="shared" si="423"/>
        <v>0,335356631467094+0,104982845391264i</v>
      </c>
      <c r="BJ450" s="68">
        <f t="shared" si="417"/>
        <v>-9.08384147645723</v>
      </c>
      <c r="BK450" s="31">
        <f t="shared" si="424"/>
        <v>17.3826439153324</v>
      </c>
      <c r="BL450" s="32">
        <f t="shared" si="418"/>
        <v>-27.1568453200254</v>
      </c>
      <c r="BM450" s="31">
        <f t="shared" si="419"/>
        <v>-82.2426262599187</v>
      </c>
      <c r="BO450">
        <f t="shared" si="420"/>
        <v>0</v>
      </c>
      <c r="BP450">
        <f t="shared" si="421"/>
        <v>0</v>
      </c>
    </row>
    <row r="451" spans="14:68">
      <c r="N451" s="7">
        <v>33</v>
      </c>
      <c r="O451" s="18">
        <f t="shared" si="422"/>
        <v>213796.208950223</v>
      </c>
      <c r="P451" s="86" t="str">
        <f t="shared" si="372"/>
        <v>60</v>
      </c>
      <c r="Q451" s="4" t="str">
        <f t="shared" si="373"/>
        <v>1+1755,27303310747i</v>
      </c>
      <c r="R451" s="4">
        <f t="shared" si="384"/>
        <v>1755.27331796342</v>
      </c>
      <c r="S451" s="4">
        <f t="shared" si="385"/>
        <v>1.57022661491934</v>
      </c>
      <c r="T451" s="4" t="str">
        <f t="shared" si="374"/>
        <v>1+21,0632763972897i</v>
      </c>
      <c r="U451" s="4">
        <f t="shared" si="386"/>
        <v>21.0870010335425</v>
      </c>
      <c r="V451" s="4">
        <f t="shared" si="387"/>
        <v>1.52335595369073</v>
      </c>
      <c r="W451" t="str">
        <f t="shared" si="375"/>
        <v>1-29,3851512238974i</v>
      </c>
      <c r="X451" s="4">
        <f t="shared" si="388"/>
        <v>29.4021616969113</v>
      </c>
      <c r="Y451" s="4">
        <f t="shared" si="389"/>
        <v>-1.53677866158796</v>
      </c>
      <c r="Z451" t="str">
        <f t="shared" si="376"/>
        <v>0,626866783987854+7,8406094460965i</v>
      </c>
      <c r="AA451" s="4">
        <f t="shared" si="390"/>
        <v>7.86562892915023</v>
      </c>
      <c r="AB451" s="4">
        <f t="shared" si="391"/>
        <v>1.49101474855649</v>
      </c>
      <c r="AC451" s="67" t="str">
        <f t="shared" si="392"/>
        <v>-2,68839885656789-0,180199868828178i</v>
      </c>
      <c r="AD451" s="68">
        <f t="shared" si="393"/>
        <v>8.60934252097067</v>
      </c>
      <c r="AE451" s="31">
        <f t="shared" si="394"/>
        <v>-176.165274710186</v>
      </c>
      <c r="AF451" s="32" t="str">
        <f t="shared" si="395"/>
        <v>326,048966736478</v>
      </c>
      <c r="AG451" s="32" t="str">
        <f t="shared" si="377"/>
        <v>1+1128,38980699766i</v>
      </c>
      <c r="AH451" s="32">
        <f t="shared" si="396"/>
        <v>1128.39025010686</v>
      </c>
      <c r="AI451" s="32">
        <f t="shared" si="397"/>
        <v>1.56991010845793</v>
      </c>
      <c r="AJ451" s="32" t="str">
        <f t="shared" si="378"/>
        <v>1+21,0632763972897i</v>
      </c>
      <c r="AK451" s="32">
        <f t="shared" si="398"/>
        <v>21.0870010335425</v>
      </c>
      <c r="AL451" s="32">
        <f t="shared" si="399"/>
        <v>1.52335595369073</v>
      </c>
      <c r="AM451" s="32" t="str">
        <f t="shared" si="379"/>
        <v>1-3,47617385411631i</v>
      </c>
      <c r="AN451" s="32">
        <f t="shared" si="400"/>
        <v>3.61715145716099</v>
      </c>
      <c r="AO451" s="32">
        <f t="shared" si="401"/>
        <v>-1.29068708106927</v>
      </c>
      <c r="AP451" s="30" t="str">
        <f t="shared" si="402"/>
        <v>5,10080635311017-21,4412842282542i</v>
      </c>
      <c r="AQ451" s="32">
        <f t="shared" si="403"/>
        <v>26.864100330047</v>
      </c>
      <c r="AR451" s="31">
        <f t="shared" si="404"/>
        <v>-76.6182790042882</v>
      </c>
      <c r="AS451" t="str">
        <f t="shared" si="380"/>
        <v>-0,000100699300699301</v>
      </c>
      <c r="AT451" t="str">
        <f t="shared" si="381"/>
        <v>0,301844273371874i</v>
      </c>
      <c r="AU451">
        <f t="shared" si="405"/>
        <v>0.301844273371874</v>
      </c>
      <c r="AV451">
        <f t="shared" si="406"/>
        <v>1.5707963267949</v>
      </c>
      <c r="AW451" t="str">
        <f t="shared" si="382"/>
        <v>1+15,4538731593922i</v>
      </c>
      <c r="AX451">
        <f t="shared" si="407"/>
        <v>15.4861937100949</v>
      </c>
      <c r="AY451">
        <f t="shared" si="408"/>
        <v>1.50617771971171</v>
      </c>
      <c r="AZ451" t="str">
        <f t="shared" si="383"/>
        <v>1+738,826659343706i</v>
      </c>
      <c r="BA451">
        <f t="shared" si="409"/>
        <v>738.827336092121</v>
      </c>
      <c r="BB451">
        <f t="shared" si="410"/>
        <v>1.56944283017062</v>
      </c>
      <c r="BC451" s="30" t="str">
        <f t="shared" si="411"/>
        <v>-0,00100627412465991+0,0158844461072397i</v>
      </c>
      <c r="BD451" s="32">
        <f t="shared" si="412"/>
        <v>-35.9631643570844</v>
      </c>
      <c r="BE451" s="31">
        <f t="shared" si="413"/>
        <v>93.6248238197242</v>
      </c>
      <c r="BF451" s="30" t="str">
        <f t="shared" si="414"/>
        <v>0,00556764131106241-0,0425223962866486i</v>
      </c>
      <c r="BG451" s="68">
        <f t="shared" si="415"/>
        <v>-27.3538218361137</v>
      </c>
      <c r="BH451" s="31">
        <f t="shared" si="416"/>
        <v>-82.540450890462</v>
      </c>
      <c r="BI451" s="30" t="str">
        <f t="shared" si="423"/>
        <v>0,335450114345677+0,102599293137815i</v>
      </c>
      <c r="BJ451" s="68">
        <f t="shared" si="417"/>
        <v>-9.09906402703733</v>
      </c>
      <c r="BK451" s="31">
        <f t="shared" si="424"/>
        <v>17.006544815436</v>
      </c>
      <c r="BL451" s="32">
        <f t="shared" si="418"/>
        <v>-27.3538218361137</v>
      </c>
      <c r="BM451" s="31">
        <f t="shared" si="419"/>
        <v>-82.540450890462</v>
      </c>
      <c r="BO451">
        <f t="shared" si="420"/>
        <v>0</v>
      </c>
      <c r="BP451">
        <f t="shared" si="421"/>
        <v>0</v>
      </c>
    </row>
    <row r="452" spans="14:68">
      <c r="N452" s="7">
        <v>34</v>
      </c>
      <c r="O452" s="18">
        <f t="shared" si="422"/>
        <v>218776.162394955</v>
      </c>
      <c r="P452" s="86" t="str">
        <f t="shared" si="372"/>
        <v>60</v>
      </c>
      <c r="Q452" s="4" t="str">
        <f t="shared" si="373"/>
        <v>1+1796,15859431826i</v>
      </c>
      <c r="R452" s="4">
        <f t="shared" si="384"/>
        <v>1796.15887269009</v>
      </c>
      <c r="S452" s="4">
        <f t="shared" si="385"/>
        <v>1.57023958314217</v>
      </c>
      <c r="T452" s="4" t="str">
        <f t="shared" si="374"/>
        <v>1+21,5539031318192i</v>
      </c>
      <c r="U452" s="4">
        <f t="shared" si="386"/>
        <v>21.5770883164491</v>
      </c>
      <c r="V452" s="4">
        <f t="shared" si="387"/>
        <v>1.5244342636966</v>
      </c>
      <c r="W452" t="str">
        <f t="shared" si="375"/>
        <v>1-30,0696193245245i</v>
      </c>
      <c r="X452" s="4">
        <f t="shared" si="388"/>
        <v>30.0862428083305</v>
      </c>
      <c r="Y452" s="4">
        <f t="shared" si="389"/>
        <v>-1.53755242116665</v>
      </c>
      <c r="Z452" t="str">
        <f t="shared" si="376"/>
        <v>0,609281557287639+8,02324070140084i</v>
      </c>
      <c r="AA452" s="4">
        <f t="shared" si="390"/>
        <v>8.04634173824763</v>
      </c>
      <c r="AB452" s="4">
        <f t="shared" si="391"/>
        <v>1.49500221690572</v>
      </c>
      <c r="AC452" s="67" t="str">
        <f t="shared" si="392"/>
        <v>-2,68967625523367-0,170302519418272i</v>
      </c>
      <c r="AD452" s="68">
        <f t="shared" si="393"/>
        <v>8.6113764809056</v>
      </c>
      <c r="AE452" s="31">
        <f t="shared" si="394"/>
        <v>-176.377033387849</v>
      </c>
      <c r="AF452" s="32" t="str">
        <f t="shared" si="395"/>
        <v>326,048966736478</v>
      </c>
      <c r="AG452" s="32" t="str">
        <f t="shared" si="377"/>
        <v>1+1154,67338206174i</v>
      </c>
      <c r="AH452" s="32">
        <f t="shared" si="396"/>
        <v>1154.67381508454</v>
      </c>
      <c r="AI452" s="32">
        <f t="shared" si="397"/>
        <v>1.56993028123992</v>
      </c>
      <c r="AJ452" s="32" t="str">
        <f t="shared" si="378"/>
        <v>1+21,5539031318192i</v>
      </c>
      <c r="AK452" s="32">
        <f t="shared" si="398"/>
        <v>21.5770883164491</v>
      </c>
      <c r="AL452" s="32">
        <f t="shared" si="399"/>
        <v>1.5244342636966</v>
      </c>
      <c r="AM452" s="32" t="str">
        <f t="shared" si="379"/>
        <v>1-3,5571443448668i</v>
      </c>
      <c r="AN452" s="32">
        <f t="shared" si="400"/>
        <v>3.69503394980585</v>
      </c>
      <c r="AO452" s="32">
        <f t="shared" si="401"/>
        <v>-1.29674529075707</v>
      </c>
      <c r="AP452" s="30" t="str">
        <f t="shared" si="402"/>
        <v>5,10079500821947-21,9276162529545i</v>
      </c>
      <c r="AQ452" s="32">
        <f t="shared" si="403"/>
        <v>27.0486956631168</v>
      </c>
      <c r="AR452" s="31">
        <f t="shared" si="404"/>
        <v>-76.9047620537301</v>
      </c>
      <c r="AS452" t="str">
        <f t="shared" si="380"/>
        <v>-0,000100699300699301</v>
      </c>
      <c r="AT452" t="str">
        <f t="shared" si="381"/>
        <v>0,308875129701515i</v>
      </c>
      <c r="AU452">
        <f t="shared" si="405"/>
        <v>0.308875129701515</v>
      </c>
      <c r="AV452">
        <f t="shared" si="406"/>
        <v>1.5707963267949</v>
      </c>
      <c r="AW452" t="str">
        <f t="shared" si="382"/>
        <v>1+15,8138401076017i</v>
      </c>
      <c r="AX452">
        <f t="shared" si="407"/>
        <v>15.8454264363188</v>
      </c>
      <c r="AY452">
        <f t="shared" si="408"/>
        <v>1.50764466583246</v>
      </c>
      <c r="AZ452" t="str">
        <f t="shared" si="383"/>
        <v>1+756,036143016615i</v>
      </c>
      <c r="BA452">
        <f t="shared" si="409"/>
        <v>756.03680436037</v>
      </c>
      <c r="BB452">
        <f t="shared" si="410"/>
        <v>1.56947363947886</v>
      </c>
      <c r="BC452" s="30" t="str">
        <f t="shared" si="411"/>
        <v>-0,000961164710266559+0,0155257244977997i</v>
      </c>
      <c r="BD452" s="32">
        <f t="shared" si="412"/>
        <v>-36.1623495985397</v>
      </c>
      <c r="BE452" s="31">
        <f t="shared" si="413"/>
        <v>93.5425392415642</v>
      </c>
      <c r="BF452" s="30" t="str">
        <f t="shared" si="414"/>
        <v>0,00522929189634179-0,0415954837552972i</v>
      </c>
      <c r="BG452" s="68">
        <f t="shared" si="415"/>
        <v>-27.5509731176341</v>
      </c>
      <c r="BH452" s="31">
        <f t="shared" si="416"/>
        <v>-82.8344941462849</v>
      </c>
      <c r="BI452" s="30" t="str">
        <f t="shared" si="423"/>
        <v>0,335539424680642+0,100269588939975i</v>
      </c>
      <c r="BJ452" s="68">
        <f t="shared" si="417"/>
        <v>-9.11365393542295</v>
      </c>
      <c r="BK452" s="31">
        <f t="shared" si="424"/>
        <v>16.6377771878341</v>
      </c>
      <c r="BL452" s="32">
        <f t="shared" si="418"/>
        <v>-27.5509731176341</v>
      </c>
      <c r="BM452" s="31">
        <f t="shared" si="419"/>
        <v>-82.8344941462849</v>
      </c>
      <c r="BO452">
        <f t="shared" si="420"/>
        <v>0</v>
      </c>
      <c r="BP452">
        <f t="shared" si="421"/>
        <v>0</v>
      </c>
    </row>
    <row r="453" spans="14:68">
      <c r="N453" s="7">
        <v>35</v>
      </c>
      <c r="O453" s="18">
        <f t="shared" si="422"/>
        <v>223872.113856834</v>
      </c>
      <c r="P453" s="86" t="str">
        <f t="shared" si="372"/>
        <v>60</v>
      </c>
      <c r="Q453" s="4" t="str">
        <f t="shared" si="373"/>
        <v>1+1837,99650259072i</v>
      </c>
      <c r="R453" s="4">
        <f t="shared" si="384"/>
        <v>1837.99677462604</v>
      </c>
      <c r="S453" s="4">
        <f t="shared" si="385"/>
        <v>1.57025225617239</v>
      </c>
      <c r="T453" s="4" t="str">
        <f t="shared" si="374"/>
        <v>1+22,0559580310887i</v>
      </c>
      <c r="U453" s="4">
        <f t="shared" si="386"/>
        <v>22.0786160043864</v>
      </c>
      <c r="V453" s="4">
        <f t="shared" si="387"/>
        <v>1.5254881326353</v>
      </c>
      <c r="W453" t="str">
        <f t="shared" si="375"/>
        <v>1-30,7700307353357i</v>
      </c>
      <c r="X453" s="4">
        <f t="shared" si="388"/>
        <v>30.786276024448</v>
      </c>
      <c r="Y453" s="4">
        <f t="shared" si="389"/>
        <v>-1.53830860630761</v>
      </c>
      <c r="Z453" t="str">
        <f t="shared" si="376"/>
        <v>0,5908675643859+8,21012598512516i</v>
      </c>
      <c r="AA453" s="4">
        <f t="shared" si="390"/>
        <v>8.23136034749243</v>
      </c>
      <c r="AB453" s="4">
        <f t="shared" si="391"/>
        <v>1.49895204475208</v>
      </c>
      <c r="AC453" s="67" t="str">
        <f t="shared" si="392"/>
        <v>-2,69087131749238-0,160479353294925i</v>
      </c>
      <c r="AD453" s="68">
        <f t="shared" si="393"/>
        <v>8.61327792272674</v>
      </c>
      <c r="AE453" s="31">
        <f t="shared" si="394"/>
        <v>-176.587011939154</v>
      </c>
      <c r="AF453" s="32" t="str">
        <f t="shared" si="395"/>
        <v>326,048966736478</v>
      </c>
      <c r="AG453" s="32" t="str">
        <f t="shared" si="377"/>
        <v>1+1181,56918023689i</v>
      </c>
      <c r="AH453" s="32">
        <f t="shared" si="396"/>
        <v>1181.5696034029</v>
      </c>
      <c r="AI453" s="32">
        <f t="shared" si="397"/>
        <v>1.569949994834</v>
      </c>
      <c r="AJ453" s="32" t="str">
        <f t="shared" si="378"/>
        <v>1+22,0559580310887i</v>
      </c>
      <c r="AK453" s="32">
        <f t="shared" si="398"/>
        <v>22.0786160043864</v>
      </c>
      <c r="AL453" s="32">
        <f t="shared" si="399"/>
        <v>1.5254881326353</v>
      </c>
      <c r="AM453" s="32" t="str">
        <f t="shared" si="379"/>
        <v>1-3,6400008806333i</v>
      </c>
      <c r="AN453" s="32">
        <f t="shared" si="400"/>
        <v>3.77486508514029</v>
      </c>
      <c r="AO453" s="32">
        <f t="shared" si="401"/>
        <v>-1.30268560552562</v>
      </c>
      <c r="AP453" s="30" t="str">
        <f t="shared" si="402"/>
        <v>5,10078417393222-22,4255745891539i</v>
      </c>
      <c r="AQ453" s="32">
        <f t="shared" si="403"/>
        <v>27.2339359784006</v>
      </c>
      <c r="AR453" s="31">
        <f t="shared" si="404"/>
        <v>-77.1858642823401</v>
      </c>
      <c r="AS453" t="str">
        <f t="shared" si="380"/>
        <v>-0,000100699300699301</v>
      </c>
      <c r="AT453" t="str">
        <f t="shared" si="381"/>
        <v>0,31606975571337i</v>
      </c>
      <c r="AU453">
        <f t="shared" si="405"/>
        <v>0.31606975571337</v>
      </c>
      <c r="AV453">
        <f t="shared" si="406"/>
        <v>1.5707963267949</v>
      </c>
      <c r="AW453" t="str">
        <f t="shared" si="382"/>
        <v>1+16,182191763157i</v>
      </c>
      <c r="AX453">
        <f t="shared" si="407"/>
        <v>16.2130604840538</v>
      </c>
      <c r="AY453">
        <f t="shared" si="408"/>
        <v>1.50907848321297</v>
      </c>
      <c r="AZ453" t="str">
        <f t="shared" si="383"/>
        <v>1+773,646487059869i</v>
      </c>
      <c r="BA453">
        <f t="shared" si="409"/>
        <v>773.647133349614</v>
      </c>
      <c r="BB453">
        <f t="shared" si="410"/>
        <v>1.56950374748405</v>
      </c>
      <c r="BC453" s="30" t="str">
        <f t="shared" si="411"/>
        <v>-0,000918069742705599+0,0151749789722261i</v>
      </c>
      <c r="BD453" s="32">
        <f t="shared" si="412"/>
        <v>-36.3615713673304</v>
      </c>
      <c r="BE453" s="31">
        <f t="shared" si="413"/>
        <v>93.4621126186956</v>
      </c>
      <c r="BF453" s="30" t="str">
        <f t="shared" si="414"/>
        <v>0,00490567834983104-0,0406865844213242i</v>
      </c>
      <c r="BG453" s="68">
        <f t="shared" si="415"/>
        <v>-27.7482934446037</v>
      </c>
      <c r="BH453" s="31">
        <f t="shared" si="416"/>
        <v>-83.1248993204584</v>
      </c>
      <c r="BI453" s="30" t="str">
        <f t="shared" si="423"/>
        <v>0,33562474721634+0,0979925340743749i</v>
      </c>
      <c r="BJ453" s="68">
        <f t="shared" si="417"/>
        <v>-9.1276353889298</v>
      </c>
      <c r="BK453" s="31">
        <f t="shared" si="424"/>
        <v>16.2762483363555</v>
      </c>
      <c r="BL453" s="32">
        <f t="shared" si="418"/>
        <v>-27.7482934446037</v>
      </c>
      <c r="BM453" s="31">
        <f t="shared" si="419"/>
        <v>-83.1248993204584</v>
      </c>
      <c r="BO453">
        <f t="shared" si="420"/>
        <v>0</v>
      </c>
      <c r="BP453">
        <f t="shared" si="421"/>
        <v>0</v>
      </c>
    </row>
    <row r="454" spans="14:68">
      <c r="N454" s="7">
        <v>36</v>
      </c>
      <c r="O454" s="18">
        <f t="shared" si="422"/>
        <v>229086.765276778</v>
      </c>
      <c r="P454" s="86" t="str">
        <f t="shared" si="372"/>
        <v>60</v>
      </c>
      <c r="Q454" s="4" t="str">
        <f t="shared" si="373"/>
        <v>1+1880,80894093763i</v>
      </c>
      <c r="R454" s="4">
        <f t="shared" si="384"/>
        <v>1880.80920678067</v>
      </c>
      <c r="S454" s="4">
        <f t="shared" si="385"/>
        <v>1.57026464072939</v>
      </c>
      <c r="T454" s="4" t="str">
        <f t="shared" si="374"/>
        <v>1+22,5697072912516i</v>
      </c>
      <c r="U454" s="4">
        <f t="shared" si="386"/>
        <v>22.5918500174903</v>
      </c>
      <c r="V454" s="4">
        <f t="shared" si="387"/>
        <v>1.526518109913</v>
      </c>
      <c r="W454" t="str">
        <f t="shared" si="375"/>
        <v>1-31,4867568237327i</v>
      </c>
      <c r="X454" s="4">
        <f t="shared" si="388"/>
        <v>31.5026325134405</v>
      </c>
      <c r="Y454" s="4">
        <f t="shared" si="389"/>
        <v>-1.53904761448902</v>
      </c>
      <c r="Z454" t="str">
        <f t="shared" si="376"/>
        <v>0,571585746734874+8,40136438632075i</v>
      </c>
      <c r="AA454" s="4">
        <f t="shared" si="390"/>
        <v>8.42078581948319</v>
      </c>
      <c r="AB454" s="4">
        <f t="shared" si="391"/>
        <v>1.50286613668344</v>
      </c>
      <c r="AC454" s="67" t="str">
        <f t="shared" si="392"/>
        <v>-2,69198630267662-0,150726390013759i</v>
      </c>
      <c r="AD454" s="68">
        <f t="shared" si="393"/>
        <v>8.61505060547588</v>
      </c>
      <c r="AE454" s="31">
        <f t="shared" si="394"/>
        <v>-176.795311169109</v>
      </c>
      <c r="AF454" s="32" t="str">
        <f t="shared" si="395"/>
        <v>326,048966736478</v>
      </c>
      <c r="AG454" s="32" t="str">
        <f t="shared" si="377"/>
        <v>1+1209,09146203133i</v>
      </c>
      <c r="AH454" s="32">
        <f t="shared" si="396"/>
        <v>1209.0918755649</v>
      </c>
      <c r="AI454" s="32">
        <f t="shared" si="397"/>
        <v>1.56996925969254</v>
      </c>
      <c r="AJ454" s="32" t="str">
        <f t="shared" si="378"/>
        <v>1+22,5697072912516i</v>
      </c>
      <c r="AK454" s="32">
        <f t="shared" si="398"/>
        <v>22.5918500174903</v>
      </c>
      <c r="AL454" s="32">
        <f t="shared" si="399"/>
        <v>1.526518109913</v>
      </c>
      <c r="AM454" s="32" t="str">
        <f t="shared" si="379"/>
        <v>1-3,72478739304785i</v>
      </c>
      <c r="AN454" s="32">
        <f t="shared" si="400"/>
        <v>3.85668784365655</v>
      </c>
      <c r="AO454" s="32">
        <f t="shared" si="401"/>
        <v>-1.30850949739789</v>
      </c>
      <c r="AP454" s="30" t="str">
        <f t="shared" si="402"/>
        <v>5,10077382726753-22,9354232610125i</v>
      </c>
      <c r="AQ454" s="32">
        <f t="shared" si="403"/>
        <v>27.4197962084472</v>
      </c>
      <c r="AR454" s="31">
        <f t="shared" si="404"/>
        <v>-77.4616391510418</v>
      </c>
      <c r="AS454" t="str">
        <f t="shared" si="380"/>
        <v>-0,000100699300699301</v>
      </c>
      <c r="AT454" t="str">
        <f t="shared" si="381"/>
        <v>0,323431966093382i</v>
      </c>
      <c r="AU454">
        <f t="shared" si="405"/>
        <v>0.323431966093382</v>
      </c>
      <c r="AV454">
        <f t="shared" si="406"/>
        <v>1.5707963267949</v>
      </c>
      <c r="AW454" t="str">
        <f t="shared" si="382"/>
        <v>1+16,559123430982i</v>
      </c>
      <c r="AX454">
        <f t="shared" si="407"/>
        <v>16.5892907866038</v>
      </c>
      <c r="AY454">
        <f t="shared" si="408"/>
        <v>1.51047990848739</v>
      </c>
      <c r="AZ454" t="str">
        <f t="shared" si="383"/>
        <v>1+791,667028710992i</v>
      </c>
      <c r="BA454">
        <f t="shared" si="409"/>
        <v>791.667660289399</v>
      </c>
      <c r="BB454">
        <f t="shared" si="410"/>
        <v>1.56953317014964</v>
      </c>
      <c r="BC454" s="30" t="str">
        <f t="shared" si="411"/>
        <v>-0,000876899940390693+0,0148320405096581i</v>
      </c>
      <c r="BD454" s="32">
        <f t="shared" si="412"/>
        <v>-36.5608280319771</v>
      </c>
      <c r="BE454" s="31">
        <f t="shared" si="413"/>
        <v>93.3835026597289</v>
      </c>
      <c r="BF454" s="30" t="str">
        <f t="shared" si="414"/>
        <v>0,00459618255090829-0,039795477930326i</v>
      </c>
      <c r="BG454" s="68">
        <f t="shared" si="415"/>
        <v>-27.9457774265013</v>
      </c>
      <c r="BH454" s="31">
        <f t="shared" si="416"/>
        <v>-83.4118085093797</v>
      </c>
      <c r="BI454" s="30" t="str">
        <f t="shared" si="423"/>
        <v>0,335706258648415+0,095766955327053i</v>
      </c>
      <c r="BJ454" s="68">
        <f t="shared" si="417"/>
        <v>-9.14103182352996</v>
      </c>
      <c r="BK454" s="31">
        <f t="shared" si="424"/>
        <v>15.9218635086871</v>
      </c>
      <c r="BL454" s="32">
        <f t="shared" si="418"/>
        <v>-27.9457774265013</v>
      </c>
      <c r="BM454" s="31">
        <f t="shared" si="419"/>
        <v>-83.4118085093797</v>
      </c>
      <c r="BO454">
        <f t="shared" si="420"/>
        <v>0</v>
      </c>
      <c r="BP454">
        <f t="shared" si="421"/>
        <v>0</v>
      </c>
    </row>
    <row r="455" spans="14:68">
      <c r="N455" s="7">
        <v>37</v>
      </c>
      <c r="O455" s="18">
        <f t="shared" si="422"/>
        <v>234422.881531993</v>
      </c>
      <c r="P455" s="86" t="str">
        <f t="shared" si="372"/>
        <v>60</v>
      </c>
      <c r="Q455" s="4" t="str">
        <f t="shared" si="373"/>
        <v>1+1924,61860908047i</v>
      </c>
      <c r="R455" s="4">
        <f t="shared" si="384"/>
        <v>1924.61886887218</v>
      </c>
      <c r="S455" s="4">
        <f t="shared" si="385"/>
        <v>1.57027674337962</v>
      </c>
      <c r="T455" s="4" t="str">
        <f t="shared" si="374"/>
        <v>1+23,0954233089656i</v>
      </c>
      <c r="U455" s="4">
        <f t="shared" si="386"/>
        <v>23.1170624825109</v>
      </c>
      <c r="V455" s="4">
        <f t="shared" si="387"/>
        <v>1.52752473289109</v>
      </c>
      <c r="W455" t="str">
        <f t="shared" si="375"/>
        <v>1-32,2201776073739i</v>
      </c>
      <c r="X455" s="4">
        <f t="shared" si="388"/>
        <v>32.2356920982119</v>
      </c>
      <c r="Y455" s="4">
        <f t="shared" si="389"/>
        <v>-1.53976983431219</v>
      </c>
      <c r="Z455" t="str">
        <f t="shared" si="376"/>
        <v>0,551395205014178+8,59705730211913i</v>
      </c>
      <c r="AA455" s="4">
        <f t="shared" si="390"/>
        <v>8.61472175569429</v>
      </c>
      <c r="AB455" s="4">
        <f t="shared" si="391"/>
        <v>1.50674638903035</v>
      </c>
      <c r="AC455" s="67" t="str">
        <f t="shared" si="392"/>
        <v>-2,69302332556089-0,141039621275638i</v>
      </c>
      <c r="AD455" s="68">
        <f t="shared" si="393"/>
        <v>8.61669804013234</v>
      </c>
      <c r="AE455" s="31">
        <f t="shared" si="394"/>
        <v>-177.002031582354</v>
      </c>
      <c r="AF455" s="32" t="str">
        <f t="shared" si="395"/>
        <v>326,048966736478</v>
      </c>
      <c r="AG455" s="32" t="str">
        <f t="shared" si="377"/>
        <v>1+1237,25482012316i</v>
      </c>
      <c r="AH455" s="32">
        <f t="shared" si="396"/>
        <v>1237.25522424356</v>
      </c>
      <c r="AI455" s="32">
        <f t="shared" si="397"/>
        <v>1.56998808602995</v>
      </c>
      <c r="AJ455" s="32" t="str">
        <f t="shared" si="378"/>
        <v>1+23,0954233089656i</v>
      </c>
      <c r="AK455" s="32">
        <f t="shared" si="398"/>
        <v>23.1170624825109</v>
      </c>
      <c r="AL455" s="32">
        <f t="shared" si="399"/>
        <v>1.52752473289109</v>
      </c>
      <c r="AM455" s="32" t="str">
        <f t="shared" si="379"/>
        <v>1-3,81154883704157i</v>
      </c>
      <c r="AN455" s="32">
        <f t="shared" si="400"/>
        <v>3.9405462231971</v>
      </c>
      <c r="AO455" s="32">
        <f t="shared" si="401"/>
        <v>-1.31421847337385</v>
      </c>
      <c r="AP455" s="30" t="str">
        <f t="shared" si="402"/>
        <v>5,10076394627879-23,4574325970996i</v>
      </c>
      <c r="AQ455" s="32">
        <f t="shared" si="403"/>
        <v>27.6062521006576</v>
      </c>
      <c r="AR455" s="31">
        <f t="shared" si="404"/>
        <v>-77.7321428012783</v>
      </c>
      <c r="AS455" t="str">
        <f t="shared" si="380"/>
        <v>-0,000100699300699301</v>
      </c>
      <c r="AT455" t="str">
        <f t="shared" si="381"/>
        <v>0,330965664382944i</v>
      </c>
      <c r="AU455">
        <f t="shared" si="405"/>
        <v>0.330965664382944</v>
      </c>
      <c r="AV455">
        <f t="shared" si="406"/>
        <v>1.5707963267949</v>
      </c>
      <c r="AW455" t="str">
        <f t="shared" si="382"/>
        <v>1+16,944834965236i</v>
      </c>
      <c r="AX455">
        <f t="shared" si="407"/>
        <v>16.9743168345322</v>
      </c>
      <c r="AY455">
        <f t="shared" si="408"/>
        <v>1.51184966267839</v>
      </c>
      <c r="AZ455" t="str">
        <f t="shared" si="383"/>
        <v>1+810,107322699685i</v>
      </c>
      <c r="BA455">
        <f t="shared" si="409"/>
        <v>810.107939901623</v>
      </c>
      <c r="BB455">
        <f t="shared" si="410"/>
        <v>1.56956192307571</v>
      </c>
      <c r="BC455" s="30" t="str">
        <f t="shared" si="411"/>
        <v>-0,000837569919336676+0,014496743111265i</v>
      </c>
      <c r="BD455" s="32">
        <f t="shared" si="412"/>
        <v>-36.7601180333335</v>
      </c>
      <c r="BE455" s="31">
        <f t="shared" si="413"/>
        <v>93.3066689469263</v>
      </c>
      <c r="BF455" s="30" t="str">
        <f t="shared" si="414"/>
        <v>0,00430021048770485-0,0389219367990857i</v>
      </c>
      <c r="BG455" s="68">
        <f t="shared" si="415"/>
        <v>-28.1434199932011</v>
      </c>
      <c r="BH455" s="31">
        <f t="shared" si="416"/>
        <v>-83.6953626354282</v>
      </c>
      <c r="BI455" s="30" t="str">
        <f t="shared" si="423"/>
        <v>0,335784127962927+0,0935917045286042i</v>
      </c>
      <c r="BJ455" s="68">
        <f t="shared" si="417"/>
        <v>-9.15386593267588</v>
      </c>
      <c r="BK455" s="31">
        <f t="shared" si="424"/>
        <v>15.5745261456479</v>
      </c>
      <c r="BL455" s="32">
        <f t="shared" si="418"/>
        <v>-28.1434199932011</v>
      </c>
      <c r="BM455" s="31">
        <f t="shared" si="419"/>
        <v>-83.6953626354282</v>
      </c>
      <c r="BO455">
        <f t="shared" si="420"/>
        <v>0</v>
      </c>
      <c r="BP455">
        <f t="shared" si="421"/>
        <v>0</v>
      </c>
    </row>
    <row r="456" spans="14:68">
      <c r="N456" s="7">
        <v>38</v>
      </c>
      <c r="O456" s="18">
        <f t="shared" si="422"/>
        <v>239883.291901949</v>
      </c>
      <c r="P456" s="86" t="str">
        <f t="shared" si="372"/>
        <v>60</v>
      </c>
      <c r="Q456" s="4" t="str">
        <f t="shared" si="373"/>
        <v>1+1969,44873548517i</v>
      </c>
      <c r="R456" s="4">
        <f t="shared" si="384"/>
        <v>1969.4489893633</v>
      </c>
      <c r="S456" s="4">
        <f t="shared" si="385"/>
        <v>1.57028857054004</v>
      </c>
      <c r="T456" s="4" t="str">
        <f t="shared" si="374"/>
        <v>1+23,633384825822i</v>
      </c>
      <c r="U456" s="4">
        <f t="shared" si="386"/>
        <v>23.6545318771138</v>
      </c>
      <c r="V456" s="4">
        <f t="shared" si="387"/>
        <v>1.52850852712974</v>
      </c>
      <c r="W456" t="str">
        <f t="shared" si="375"/>
        <v>1-32,9706819556669i</v>
      </c>
      <c r="X456" s="4">
        <f t="shared" si="388"/>
        <v>32.9858434577887</v>
      </c>
      <c r="Y456" s="4">
        <f t="shared" si="389"/>
        <v>-1.54047564569222</v>
      </c>
      <c r="Z456" t="str">
        <f t="shared" si="376"/>
        <v>0,530253112377828+8,79730849149457i</v>
      </c>
      <c r="AA456" s="4">
        <f t="shared" si="390"/>
        <v>8.81327436641506</v>
      </c>
      <c r="AB456" s="4">
        <f t="shared" si="391"/>
        <v>1.51059469007846</v>
      </c>
      <c r="AC456" s="67" t="str">
        <f t="shared" si="392"/>
        <v>-2,69398435887998-0,131415013698882i</v>
      </c>
      <c r="AD456" s="68">
        <f t="shared" si="393"/>
        <v>8.61822349505179</v>
      </c>
      <c r="AE456" s="31">
        <f t="shared" si="394"/>
        <v>-177.207273392507</v>
      </c>
      <c r="AF456" s="32" t="str">
        <f t="shared" si="395"/>
        <v>326,048966736478</v>
      </c>
      <c r="AG456" s="32" t="str">
        <f t="shared" si="377"/>
        <v>1+1266,07418709761i</v>
      </c>
      <c r="AH456" s="32">
        <f t="shared" si="396"/>
        <v>1266.07458201911</v>
      </c>
      <c r="AI456" s="32">
        <f t="shared" si="397"/>
        <v>1.57000648382816</v>
      </c>
      <c r="AJ456" s="32" t="str">
        <f t="shared" si="378"/>
        <v>1+23,633384825822i</v>
      </c>
      <c r="AK456" s="32">
        <f t="shared" si="398"/>
        <v>23.6545318771138</v>
      </c>
      <c r="AL456" s="32">
        <f t="shared" si="399"/>
        <v>1.52850852712974</v>
      </c>
      <c r="AM456" s="32" t="str">
        <f t="shared" si="379"/>
        <v>1-3,90033121468048i</v>
      </c>
      <c r="AN456" s="32">
        <f t="shared" si="400"/>
        <v>4.02648526437275</v>
      </c>
      <c r="AO456" s="32">
        <f t="shared" si="401"/>
        <v>-1.3198140712616</v>
      </c>
      <c r="AP456" s="30" t="str">
        <f t="shared" si="402"/>
        <v>5,10075451000729-23,9918793737264i</v>
      </c>
      <c r="AQ456" s="32">
        <f t="shared" si="403"/>
        <v>27.7932802040331</v>
      </c>
      <c r="AR456" s="31">
        <f t="shared" si="404"/>
        <v>-77.9974338025042</v>
      </c>
      <c r="AS456" t="str">
        <f t="shared" si="380"/>
        <v>-0,000100699300699301</v>
      </c>
      <c r="AT456" t="str">
        <f t="shared" si="381"/>
        <v>0,33867484504861i</v>
      </c>
      <c r="AU456">
        <f t="shared" si="405"/>
        <v>0.33867484504861</v>
      </c>
      <c r="AV456">
        <f t="shared" si="406"/>
        <v>1.5707963267949</v>
      </c>
      <c r="AW456" t="str">
        <f t="shared" si="382"/>
        <v>1+17,3395308752798i</v>
      </c>
      <c r="AX456">
        <f t="shared" si="407"/>
        <v>17.368342781474</v>
      </c>
      <c r="AY456">
        <f t="shared" si="408"/>
        <v>1.51318845147641</v>
      </c>
      <c r="AZ456" t="str">
        <f t="shared" si="383"/>
        <v>1+828,977146313909i</v>
      </c>
      <c r="BA456">
        <f t="shared" si="409"/>
        <v>828.977749466626</v>
      </c>
      <c r="BB456">
        <f t="shared" si="410"/>
        <v>1.56959002150724</v>
      </c>
      <c r="BC456" s="30" t="str">
        <f t="shared" si="411"/>
        <v>-0,000799998028233814+0,0141689237853124i</v>
      </c>
      <c r="BD456" s="32">
        <f t="shared" si="412"/>
        <v>-36.959439881426</v>
      </c>
      <c r="BE456" s="31">
        <f t="shared" si="413"/>
        <v>93.2315719206781</v>
      </c>
      <c r="BF456" s="30" t="str">
        <f t="shared" si="414"/>
        <v>0,00401719148854196-0,0380657273079547i</v>
      </c>
      <c r="BG456" s="68">
        <f t="shared" si="415"/>
        <v>-28.3412163863742</v>
      </c>
      <c r="BH456" s="31">
        <f t="shared" si="416"/>
        <v>-83.9757014718292</v>
      </c>
      <c r="BI456" s="30" t="str">
        <f t="shared" si="423"/>
        <v>0,335858516762227+0,0914656580924864i</v>
      </c>
      <c r="BJ456" s="68">
        <f t="shared" si="417"/>
        <v>-9.16615967739292</v>
      </c>
      <c r="BK456" s="31">
        <f t="shared" si="424"/>
        <v>15.2341381181739</v>
      </c>
      <c r="BL456" s="32">
        <f t="shared" si="418"/>
        <v>-28.3412163863742</v>
      </c>
      <c r="BM456" s="31">
        <f t="shared" si="419"/>
        <v>-83.9757014718292</v>
      </c>
      <c r="BO456">
        <f t="shared" si="420"/>
        <v>0</v>
      </c>
      <c r="BP456">
        <f t="shared" si="421"/>
        <v>0</v>
      </c>
    </row>
    <row r="457" spans="14:68">
      <c r="N457" s="7">
        <v>39</v>
      </c>
      <c r="O457" s="18">
        <f t="shared" si="422"/>
        <v>245470.891568503</v>
      </c>
      <c r="P457" s="86" t="str">
        <f t="shared" si="372"/>
        <v>60</v>
      </c>
      <c r="Q457" s="4" t="str">
        <f t="shared" si="373"/>
        <v>1+2015,32308967816i</v>
      </c>
      <c r="R457" s="4">
        <f t="shared" si="384"/>
        <v>2015.32333777732</v>
      </c>
      <c r="S457" s="4">
        <f t="shared" si="385"/>
        <v>1.57030012848156</v>
      </c>
      <c r="T457" s="4" t="str">
        <f t="shared" si="374"/>
        <v>1+24,1838770761379i</v>
      </c>
      <c r="U457" s="4">
        <f t="shared" si="386"/>
        <v>24.2045431775472</v>
      </c>
      <c r="V457" s="4">
        <f t="shared" si="387"/>
        <v>1.529470006628</v>
      </c>
      <c r="W457" t="str">
        <f t="shared" si="375"/>
        <v>1-33,7386677959514i</v>
      </c>
      <c r="X457" s="4">
        <f t="shared" si="388"/>
        <v>33.7534843334072</v>
      </c>
      <c r="Y457" s="4">
        <f t="shared" si="389"/>
        <v>-1.54116542004513</v>
      </c>
      <c r="Z457" t="str">
        <f t="shared" si="376"/>
        <v>0,508114623612768+9,00222413027835i</v>
      </c>
      <c r="AA457" s="4">
        <f t="shared" si="390"/>
        <v>9.01655254310066</v>
      </c>
      <c r="AB457" s="4">
        <f t="shared" si="391"/>
        <v>1.51441292031764</v>
      </c>
      <c r="AC457" s="67" t="str">
        <f t="shared" si="392"/>
        <v>-2,69487123572398-0,121848511356813i</v>
      </c>
      <c r="AD457" s="68">
        <f t="shared" si="393"/>
        <v>8.61963000107204</v>
      </c>
      <c r="AE457" s="31">
        <f t="shared" si="394"/>
        <v>-177.411136533589</v>
      </c>
      <c r="AF457" s="32" t="str">
        <f t="shared" si="395"/>
        <v>326,048966736478</v>
      </c>
      <c r="AG457" s="32" t="str">
        <f t="shared" si="377"/>
        <v>1+1295,56484336453i</v>
      </c>
      <c r="AH457" s="32">
        <f t="shared" si="396"/>
        <v>1295.56522929653</v>
      </c>
      <c r="AI457" s="32">
        <f t="shared" si="397"/>
        <v>1.57002446284186</v>
      </c>
      <c r="AJ457" s="32" t="str">
        <f t="shared" si="378"/>
        <v>1+24,1838770761379i</v>
      </c>
      <c r="AK457" s="32">
        <f t="shared" si="398"/>
        <v>24.2045431775472</v>
      </c>
      <c r="AL457" s="32">
        <f t="shared" si="399"/>
        <v>1.529470006628</v>
      </c>
      <c r="AM457" s="32" t="str">
        <f t="shared" si="379"/>
        <v>1-3,99118159955641i</v>
      </c>
      <c r="AN457" s="32">
        <f t="shared" si="400"/>
        <v>4.1145510764405</v>
      </c>
      <c r="AO457" s="32">
        <f t="shared" si="401"/>
        <v>-1.32529785571815</v>
      </c>
      <c r="AP457" s="30" t="str">
        <f t="shared" si="402"/>
        <v>5,10074549843745-24,5390469616963i</v>
      </c>
      <c r="AQ457" s="32">
        <f t="shared" si="403"/>
        <v>27.9808578549324</v>
      </c>
      <c r="AR457" s="31">
        <f t="shared" si="404"/>
        <v>-78.2575729118908</v>
      </c>
      <c r="AS457" t="str">
        <f t="shared" si="380"/>
        <v>-0,000100699300699301</v>
      </c>
      <c r="AT457" t="str">
        <f t="shared" si="381"/>
        <v>0,346563595600013i</v>
      </c>
      <c r="AU457">
        <f t="shared" si="405"/>
        <v>0.346563595600013</v>
      </c>
      <c r="AV457">
        <f t="shared" si="406"/>
        <v>1.5707963267949</v>
      </c>
      <c r="AW457" t="str">
        <f t="shared" si="382"/>
        <v>1+17,7434204341096i</v>
      </c>
      <c r="AX457">
        <f t="shared" si="407"/>
        <v>17.7715775524172</v>
      </c>
      <c r="AY457">
        <f t="shared" si="408"/>
        <v>1.51449696551746</v>
      </c>
      <c r="AZ457" t="str">
        <f t="shared" si="383"/>
        <v>1+848,286504583919i</v>
      </c>
      <c r="BA457">
        <f t="shared" si="409"/>
        <v>848.287094007214</v>
      </c>
      <c r="BB457">
        <f t="shared" si="410"/>
        <v>1.56961748034223</v>
      </c>
      <c r="BC457" s="30" t="str">
        <f t="shared" si="411"/>
        <v>-0,000764106190037879+0,013848422529105i</v>
      </c>
      <c r="BD457" s="32">
        <f t="shared" si="412"/>
        <v>-37.1587921524286</v>
      </c>
      <c r="BE457" s="31">
        <f t="shared" si="413"/>
        <v>93.1581728640477</v>
      </c>
      <c r="BF457" s="30" t="str">
        <f t="shared" si="414"/>
        <v>0,00374657746238332-0,0372266103320624i</v>
      </c>
      <c r="BG457" s="68">
        <f t="shared" si="415"/>
        <v>-28.5391621513565</v>
      </c>
      <c r="BH457" s="31">
        <f t="shared" si="416"/>
        <v>-84.2529636695415</v>
      </c>
      <c r="BI457" s="30" t="str">
        <f t="shared" si="423"/>
        <v>0,335929579577957+0,0893877165568545i</v>
      </c>
      <c r="BJ457" s="68">
        <f t="shared" si="417"/>
        <v>-9.17793429749619</v>
      </c>
      <c r="BK457" s="31">
        <f t="shared" si="424"/>
        <v>14.9005999521569</v>
      </c>
      <c r="BL457" s="32">
        <f t="shared" si="418"/>
        <v>-28.5391621513565</v>
      </c>
      <c r="BM457" s="31">
        <f t="shared" si="419"/>
        <v>-84.2529636695415</v>
      </c>
      <c r="BO457">
        <f t="shared" si="420"/>
        <v>0</v>
      </c>
      <c r="BP457">
        <f t="shared" si="421"/>
        <v>0</v>
      </c>
    </row>
    <row r="458" spans="14:68">
      <c r="N458" s="7">
        <v>40</v>
      </c>
      <c r="O458" s="18">
        <f t="shared" si="422"/>
        <v>251188.643150958</v>
      </c>
      <c r="P458" s="86" t="str">
        <f t="shared" si="372"/>
        <v>60</v>
      </c>
      <c r="Q458" s="4" t="str">
        <f t="shared" si="373"/>
        <v>1+2062,26599484927i</v>
      </c>
      <c r="R458" s="4">
        <f t="shared" si="384"/>
        <v>2062.26623730101</v>
      </c>
      <c r="S458" s="4">
        <f t="shared" si="385"/>
        <v>1.57031142333234</v>
      </c>
      <c r="T458" s="4" t="str">
        <f t="shared" si="374"/>
        <v>1+24,7471919381912i</v>
      </c>
      <c r="U458" s="4">
        <f t="shared" si="386"/>
        <v>24.7673880097534</v>
      </c>
      <c r="V458" s="4">
        <f t="shared" si="387"/>
        <v>1.53040967406031</v>
      </c>
      <c r="W458" t="str">
        <f t="shared" si="375"/>
        <v>1-34,5245423244855i</v>
      </c>
      <c r="X458" s="4">
        <f t="shared" si="388"/>
        <v>34.5390217394064</v>
      </c>
      <c r="Y458" s="4">
        <f t="shared" si="389"/>
        <v>-1.5418395204714</v>
      </c>
      <c r="Z458" t="str">
        <f t="shared" si="376"/>
        <v>0,484932780016163+9,21191286745458i</v>
      </c>
      <c r="AA458" s="4">
        <f t="shared" si="390"/>
        <v>9.22466793324884</v>
      </c>
      <c r="AB458" s="4">
        <f t="shared" si="391"/>
        <v>1.51820295272495</v>
      </c>
      <c r="AC458" s="67" t="str">
        <f t="shared" si="392"/>
        <v>-2,69568565180226-0,112336038097118i</v>
      </c>
      <c r="AD458" s="68">
        <f t="shared" si="393"/>
        <v>8.62092035628322</v>
      </c>
      <c r="AE458" s="31">
        <f t="shared" si="394"/>
        <v>-177.613720673401</v>
      </c>
      <c r="AF458" s="32" t="str">
        <f t="shared" si="395"/>
        <v>326,048966736478</v>
      </c>
      <c r="AG458" s="32" t="str">
        <f t="shared" si="377"/>
        <v>1+1325,74242526024i</v>
      </c>
      <c r="AH458" s="32">
        <f t="shared" si="396"/>
        <v>1325.74280240735</v>
      </c>
      <c r="AI458" s="32">
        <f t="shared" si="397"/>
        <v>1.57004203260374</v>
      </c>
      <c r="AJ458" s="32" t="str">
        <f t="shared" si="378"/>
        <v>1+24,7471919381912i</v>
      </c>
      <c r="AK458" s="32">
        <f t="shared" si="398"/>
        <v>24.7673880097534</v>
      </c>
      <c r="AL458" s="32">
        <f t="shared" si="399"/>
        <v>1.53040967406031</v>
      </c>
      <c r="AM458" s="32" t="str">
        <f t="shared" si="379"/>
        <v>1-4,08414816174598i</v>
      </c>
      <c r="AN458" s="32">
        <f t="shared" si="400"/>
        <v>4.20479086365696</v>
      </c>
      <c r="AO458" s="32">
        <f t="shared" si="401"/>
        <v>-1.33067141449703</v>
      </c>
      <c r="AP458" s="30" t="str">
        <f t="shared" si="402"/>
        <v>5,10073689245459-25,0992254765518i</v>
      </c>
      <c r="AQ458" s="32">
        <f t="shared" si="403"/>
        <v>28.1689631619722</v>
      </c>
      <c r="AR458" s="31">
        <f t="shared" si="404"/>
        <v>-78.5126228460708</v>
      </c>
      <c r="AS458" t="str">
        <f t="shared" si="380"/>
        <v>-0,000100699300699301</v>
      </c>
      <c r="AT458" t="str">
        <f t="shared" si="381"/>
        <v>0,354636098757114i</v>
      </c>
      <c r="AU458">
        <f t="shared" si="405"/>
        <v>0.354636098757114</v>
      </c>
      <c r="AV458">
        <f t="shared" si="406"/>
        <v>1.5707963267949</v>
      </c>
      <c r="AW458" t="str">
        <f t="shared" si="382"/>
        <v>1+18,1567177893155i</v>
      </c>
      <c r="AX458">
        <f t="shared" si="407"/>
        <v>18.1842349545106</v>
      </c>
      <c r="AY458">
        <f t="shared" si="408"/>
        <v>1.51577588065925</v>
      </c>
      <c r="AZ458" t="str">
        <f t="shared" si="383"/>
        <v>1+868,045635587063i</v>
      </c>
      <c r="BA458">
        <f t="shared" si="409"/>
        <v>868.046211593454</v>
      </c>
      <c r="BB458">
        <f t="shared" si="410"/>
        <v>1.56964431413954</v>
      </c>
      <c r="BC458" s="30" t="str">
        <f t="shared" si="411"/>
        <v>-0,000729819749860579+0,0135350823080975i</v>
      </c>
      <c r="BD458" s="32">
        <f t="shared" si="412"/>
        <v>-37.3581734857644</v>
      </c>
      <c r="BE458" s="31">
        <f t="shared" si="413"/>
        <v>93.086433887402</v>
      </c>
      <c r="BF458" s="30" t="str">
        <f t="shared" si="414"/>
        <v>0,00348784214991115-0,0364043421146767i</v>
      </c>
      <c r="BG458" s="68">
        <f t="shared" si="415"/>
        <v>-28.7372531294812</v>
      </c>
      <c r="BH458" s="31">
        <f t="shared" si="416"/>
        <v>-84.5272867859994</v>
      </c>
      <c r="BI458" s="30" t="str">
        <f t="shared" si="423"/>
        <v>0,33599746417167+0,0873568041303136i</v>
      </c>
      <c r="BJ458" s="68">
        <f t="shared" si="417"/>
        <v>-9.18921032379222</v>
      </c>
      <c r="BK458" s="31">
        <f t="shared" si="424"/>
        <v>14.5738110413312</v>
      </c>
      <c r="BL458" s="32">
        <f t="shared" si="418"/>
        <v>-28.7372531294812</v>
      </c>
      <c r="BM458" s="31">
        <f t="shared" si="419"/>
        <v>-84.5272867859994</v>
      </c>
      <c r="BO458">
        <f t="shared" si="420"/>
        <v>0</v>
      </c>
      <c r="BP458">
        <f t="shared" si="421"/>
        <v>0</v>
      </c>
    </row>
    <row r="459" spans="14:68">
      <c r="N459" s="7">
        <v>41</v>
      </c>
      <c r="O459" s="18">
        <f t="shared" si="422"/>
        <v>257039.578276887</v>
      </c>
      <c r="P459" s="86" t="str">
        <f t="shared" si="372"/>
        <v>60</v>
      </c>
      <c r="Q459" s="4" t="str">
        <f t="shared" si="373"/>
        <v>1+2110,30234074815i</v>
      </c>
      <c r="R459" s="4">
        <f t="shared" si="384"/>
        <v>2110.30257768101</v>
      </c>
      <c r="S459" s="4">
        <f t="shared" si="385"/>
        <v>1.57032246108104</v>
      </c>
      <c r="T459" s="4" t="str">
        <f t="shared" si="374"/>
        <v>1+25,3236280889778i</v>
      </c>
      <c r="U459" s="4">
        <f t="shared" si="386"/>
        <v>25.3433648040047</v>
      </c>
      <c r="V459" s="4">
        <f t="shared" si="387"/>
        <v>1.53132802100939</v>
      </c>
      <c r="W459" t="str">
        <f t="shared" si="375"/>
        <v>1-35,3287222223462i</v>
      </c>
      <c r="X459" s="4">
        <f t="shared" si="388"/>
        <v>35.3428721790363</v>
      </c>
      <c r="Y459" s="4">
        <f t="shared" si="389"/>
        <v>-1.54249830193607</v>
      </c>
      <c r="Z459" t="str">
        <f t="shared" si="376"/>
        <v>0,460658409789715+9,42648588276715i</v>
      </c>
      <c r="AA459" s="4">
        <f t="shared" si="390"/>
        <v>9.43773501792238</v>
      </c>
      <c r="AB459" s="4">
        <f t="shared" si="391"/>
        <v>1.52196665307893</v>
      </c>
      <c r="AC459" s="67" t="str">
        <f t="shared" si="392"/>
        <v>-2,69642916756999-0,102873499659278i</v>
      </c>
      <c r="AD459" s="68">
        <f t="shared" si="393"/>
        <v>8.62209713046068</v>
      </c>
      <c r="AE459" s="31">
        <f t="shared" si="394"/>
        <v>-177.815125228688</v>
      </c>
      <c r="AF459" s="32" t="str">
        <f t="shared" si="395"/>
        <v>326,048966736478</v>
      </c>
      <c r="AG459" s="32" t="str">
        <f t="shared" si="377"/>
        <v>1+1356,6229333381i</v>
      </c>
      <c r="AH459" s="32">
        <f t="shared" si="396"/>
        <v>1356.6233019003</v>
      </c>
      <c r="AI459" s="32">
        <f t="shared" si="397"/>
        <v>1.57005920242945</v>
      </c>
      <c r="AJ459" s="32" t="str">
        <f t="shared" si="378"/>
        <v>1+25,3236280889778i</v>
      </c>
      <c r="AK459" s="32">
        <f t="shared" si="398"/>
        <v>25.3433648040047</v>
      </c>
      <c r="AL459" s="32">
        <f t="shared" si="399"/>
        <v>1.53132802100939</v>
      </c>
      <c r="AM459" s="32" t="str">
        <f t="shared" si="379"/>
        <v>1-4,17928019335098i</v>
      </c>
      <c r="AN459" s="32">
        <f t="shared" si="400"/>
        <v>4.29725295212369</v>
      </c>
      <c r="AO459" s="32">
        <f t="shared" si="401"/>
        <v>-1.33593635489861</v>
      </c>
      <c r="AP459" s="30" t="str">
        <f t="shared" si="402"/>
        <v>5,1007286738043-25,6727119323978i</v>
      </c>
      <c r="AQ459" s="32">
        <f t="shared" si="403"/>
        <v>28.3575749901942</v>
      </c>
      <c r="AR459" s="31">
        <f t="shared" si="404"/>
        <v>-78.762648064707</v>
      </c>
      <c r="AS459" t="str">
        <f t="shared" si="380"/>
        <v>-0,000100699300699301</v>
      </c>
      <c r="AT459" t="str">
        <f t="shared" si="381"/>
        <v>0,362896634667941i</v>
      </c>
      <c r="AU459">
        <f t="shared" si="405"/>
        <v>0.362896634667941</v>
      </c>
      <c r="AV459">
        <f t="shared" si="406"/>
        <v>1.5707963267949</v>
      </c>
      <c r="AW459" t="str">
        <f t="shared" si="382"/>
        <v>1+18,5796420766259i</v>
      </c>
      <c r="AX459">
        <f t="shared" si="407"/>
        <v>18.6065337904599</v>
      </c>
      <c r="AY459">
        <f t="shared" si="408"/>
        <v>1.51702585825545</v>
      </c>
      <c r="AZ459" t="str">
        <f t="shared" si="383"/>
        <v>1+888,265015876133i</v>
      </c>
      <c r="BA459">
        <f t="shared" si="409"/>
        <v>888.265578771027</v>
      </c>
      <c r="BB459">
        <f t="shared" si="410"/>
        <v>1.56967053712666</v>
      </c>
      <c r="BC459" s="30" t="str">
        <f t="shared" si="411"/>
        <v>-0,000697067328947643+0,0132287490324373i</v>
      </c>
      <c r="BD459" s="32">
        <f t="shared" si="412"/>
        <v>-37.5575825813329</v>
      </c>
      <c r="BE459" s="31">
        <f t="shared" si="413"/>
        <v>93.0163179131415</v>
      </c>
      <c r="BF459" s="30" t="str">
        <f t="shared" si="414"/>
        <v>0,00324048038661564-0,0355986749859002i</v>
      </c>
      <c r="BG459" s="68">
        <f t="shared" si="415"/>
        <v>-28.9354854508722</v>
      </c>
      <c r="BH459" s="31">
        <f t="shared" si="416"/>
        <v>-84.798807315547</v>
      </c>
      <c r="BI459" s="30" t="str">
        <f t="shared" si="423"/>
        <v>0,336062311823414+0,0853718682418726i</v>
      </c>
      <c r="BJ459" s="68">
        <f t="shared" si="417"/>
        <v>-9.2000075911387</v>
      </c>
      <c r="BK459" s="31">
        <f t="shared" si="424"/>
        <v>14.2536698484345</v>
      </c>
      <c r="BL459" s="32">
        <f t="shared" si="418"/>
        <v>-28.9354854508722</v>
      </c>
      <c r="BM459" s="31">
        <f t="shared" si="419"/>
        <v>-84.798807315547</v>
      </c>
      <c r="BO459">
        <f t="shared" si="420"/>
        <v>0</v>
      </c>
      <c r="BP459">
        <f t="shared" si="421"/>
        <v>0</v>
      </c>
    </row>
    <row r="460" spans="14:68">
      <c r="N460" s="7">
        <v>42</v>
      </c>
      <c r="O460" s="18">
        <f t="shared" si="422"/>
        <v>263026.799189539</v>
      </c>
      <c r="P460" s="86" t="str">
        <f t="shared" si="372"/>
        <v>60</v>
      </c>
      <c r="Q460" s="4" t="str">
        <f t="shared" si="373"/>
        <v>1+2159,45759688126i</v>
      </c>
      <c r="R460" s="4">
        <f t="shared" si="384"/>
        <v>2159.45782842087</v>
      </c>
      <c r="S460" s="4">
        <f t="shared" si="385"/>
        <v>1.57033324758002</v>
      </c>
      <c r="T460" s="4" t="str">
        <f t="shared" si="374"/>
        <v>1+25,9134911625752i</v>
      </c>
      <c r="U460" s="4">
        <f t="shared" si="386"/>
        <v>25.9327789531485</v>
      </c>
      <c r="V460" s="4">
        <f t="shared" si="387"/>
        <v>1.53222552819542</v>
      </c>
      <c r="W460" t="str">
        <f t="shared" si="375"/>
        <v>1-36,1516338763604i</v>
      </c>
      <c r="X460" s="4">
        <f t="shared" si="388"/>
        <v>36.1654618652992</v>
      </c>
      <c r="Y460" s="4">
        <f t="shared" si="389"/>
        <v>-1.5431421114452</v>
      </c>
      <c r="Z460" t="str">
        <f t="shared" si="376"/>
        <v>0,435240023739635+9,64605694566913i</v>
      </c>
      <c r="AA460" s="4">
        <f t="shared" si="390"/>
        <v>9.65587119204459</v>
      </c>
      <c r="AB460" s="4">
        <f t="shared" si="391"/>
        <v>1.52570588030264</v>
      </c>
      <c r="AC460" s="67" t="str">
        <f t="shared" si="392"/>
        <v>-2,69710321021034-0,0934567856056726i</v>
      </c>
      <c r="AD460" s="68">
        <f t="shared" si="393"/>
        <v>8.62316266915655</v>
      </c>
      <c r="AE460" s="31">
        <f t="shared" si="394"/>
        <v>-178.015449381957</v>
      </c>
      <c r="AF460" s="32" t="str">
        <f t="shared" si="395"/>
        <v>326,048966736478</v>
      </c>
      <c r="AG460" s="32" t="str">
        <f t="shared" si="377"/>
        <v>1+1388,22274085224i</v>
      </c>
      <c r="AH460" s="32">
        <f t="shared" si="396"/>
        <v>1388.22310102494</v>
      </c>
      <c r="AI460" s="32">
        <f t="shared" si="397"/>
        <v>1.57007598142264</v>
      </c>
      <c r="AJ460" s="32" t="str">
        <f t="shared" si="378"/>
        <v>1+25,9134911625752i</v>
      </c>
      <c r="AK460" s="32">
        <f t="shared" si="398"/>
        <v>25.9327789531485</v>
      </c>
      <c r="AL460" s="32">
        <f t="shared" si="399"/>
        <v>1.53222552819542</v>
      </c>
      <c r="AM460" s="32" t="str">
        <f t="shared" si="379"/>
        <v>1-4,27662813463383i</v>
      </c>
      <c r="AN460" s="32">
        <f t="shared" si="400"/>
        <v>4.39198681714115</v>
      </c>
      <c r="AO460" s="32">
        <f t="shared" si="401"/>
        <v>-1.34109430041896</v>
      </c>
      <c r="AP460" s="30" t="str">
        <f t="shared" si="402"/>
        <v>5,10072082505386-26,2598103993837i</v>
      </c>
      <c r="AQ460" s="32">
        <f t="shared" si="403"/>
        <v>28.5466729446134</v>
      </c>
      <c r="AR460" s="31">
        <f t="shared" si="404"/>
        <v>-79.007714565633</v>
      </c>
      <c r="AS460" t="str">
        <f t="shared" si="380"/>
        <v>-0,000100699300699301</v>
      </c>
      <c r="AT460" t="str">
        <f t="shared" si="381"/>
        <v>0,371349583177973i</v>
      </c>
      <c r="AU460">
        <f t="shared" si="405"/>
        <v>0.371349583177973</v>
      </c>
      <c r="AV460">
        <f t="shared" si="406"/>
        <v>1.5707963267949</v>
      </c>
      <c r="AW460" t="str">
        <f t="shared" si="382"/>
        <v>1+19,012417536096i</v>
      </c>
      <c r="AX460">
        <f t="shared" si="407"/>
        <v>19.0386979745688</v>
      </c>
      <c r="AY460">
        <f t="shared" si="408"/>
        <v>1.51824754542772</v>
      </c>
      <c r="AZ460" t="str">
        <f t="shared" si="383"/>
        <v>1+908,955366034204i</v>
      </c>
      <c r="BA460">
        <f t="shared" si="409"/>
        <v>908.955916116053</v>
      </c>
      <c r="BB460">
        <f t="shared" si="410"/>
        <v>1.56969616320721</v>
      </c>
      <c r="BC460" s="30" t="str">
        <f t="shared" si="411"/>
        <v>-0,000665780684536035+0,0129292715311934i</v>
      </c>
      <c r="BD460" s="32">
        <f t="shared" si="412"/>
        <v>-37.7570181968533</v>
      </c>
      <c r="BE460" s="31">
        <f t="shared" si="413"/>
        <v>92.9477886605462</v>
      </c>
      <c r="BF460" s="30" t="str">
        <f t="shared" si="414"/>
        <v>0,00300400737908645-0,0348093580297678i</v>
      </c>
      <c r="BG460" s="68">
        <f t="shared" si="415"/>
        <v>-29.1338555276968</v>
      </c>
      <c r="BH460" s="31">
        <f t="shared" si="416"/>
        <v>-85.0676607214104</v>
      </c>
      <c r="BI460" s="30" t="str">
        <f t="shared" si="423"/>
        <v>0,336124257608756+0,0834318790954224i</v>
      </c>
      <c r="BJ460" s="68">
        <f t="shared" si="417"/>
        <v>-9.2103452522399</v>
      </c>
      <c r="BK460" s="31">
        <f t="shared" si="424"/>
        <v>13.9400740949132</v>
      </c>
      <c r="BL460" s="32">
        <f t="shared" si="418"/>
        <v>-29.1338555276968</v>
      </c>
      <c r="BM460" s="31">
        <f t="shared" si="419"/>
        <v>-85.0676607214104</v>
      </c>
      <c r="BO460">
        <f t="shared" si="420"/>
        <v>0</v>
      </c>
      <c r="BP460">
        <f t="shared" si="421"/>
        <v>0</v>
      </c>
    </row>
    <row r="461" spans="14:68">
      <c r="N461" s="7">
        <v>43</v>
      </c>
      <c r="O461" s="18">
        <f t="shared" si="422"/>
        <v>269153.480392691</v>
      </c>
      <c r="P461" s="86" t="str">
        <f t="shared" si="372"/>
        <v>60</v>
      </c>
      <c r="Q461" s="4" t="str">
        <f t="shared" si="373"/>
        <v>1+2209,75782601601i</v>
      </c>
      <c r="R461" s="4">
        <f t="shared" si="384"/>
        <v>2209.75805228514</v>
      </c>
      <c r="S461" s="4">
        <f t="shared" si="385"/>
        <v>1.57034378854841</v>
      </c>
      <c r="T461" s="4" t="str">
        <f t="shared" si="374"/>
        <v>1+26,5170939121921i</v>
      </c>
      <c r="U461" s="4">
        <f t="shared" si="386"/>
        <v>26.5359429745396</v>
      </c>
      <c r="V461" s="4">
        <f t="shared" si="387"/>
        <v>1.53310266570161</v>
      </c>
      <c r="W461" t="str">
        <f t="shared" si="375"/>
        <v>1-36,9937136051788i</v>
      </c>
      <c r="X461" s="4">
        <f t="shared" si="388"/>
        <v>37.0072269469355</v>
      </c>
      <c r="Y461" s="4">
        <f t="shared" si="389"/>
        <v>-1.54377128821909</v>
      </c>
      <c r="Z461" t="str">
        <f t="shared" si="376"/>
        <v>0,408623706061235+9,87074247564422i</v>
      </c>
      <c r="AA461" s="4">
        <f t="shared" si="390"/>
        <v>9.87919684760063</v>
      </c>
      <c r="AB461" s="4">
        <f t="shared" si="391"/>
        <v>1.52942248683293</v>
      </c>
      <c r="AC461" s="67" t="str">
        <f t="shared" si="392"/>
        <v>-2,69770907546762-0,0840817710818635i</v>
      </c>
      <c r="AD461" s="68">
        <f t="shared" si="393"/>
        <v>8.62411909745016</v>
      </c>
      <c r="AE461" s="31">
        <f t="shared" si="394"/>
        <v>-178.214792099808</v>
      </c>
      <c r="AF461" s="32" t="str">
        <f t="shared" si="395"/>
        <v>326,048966736478</v>
      </c>
      <c r="AG461" s="32" t="str">
        <f t="shared" si="377"/>
        <v>1+1420,55860243886i</v>
      </c>
      <c r="AH461" s="32">
        <f t="shared" si="396"/>
        <v>1420.55895441303</v>
      </c>
      <c r="AI461" s="32">
        <f t="shared" si="397"/>
        <v>1.5700923784797</v>
      </c>
      <c r="AJ461" s="32" t="str">
        <f t="shared" si="378"/>
        <v>1+26,5170939121921i</v>
      </c>
      <c r="AK461" s="32">
        <f t="shared" si="398"/>
        <v>26.5359429745396</v>
      </c>
      <c r="AL461" s="32">
        <f t="shared" si="399"/>
        <v>1.53310266570161</v>
      </c>
      <c r="AM461" s="32" t="str">
        <f t="shared" si="379"/>
        <v>1-4,37624360076147i</v>
      </c>
      <c r="AN461" s="32">
        <f t="shared" si="400"/>
        <v>4.4890431110879</v>
      </c>
      <c r="AO461" s="32">
        <f t="shared" si="401"/>
        <v>-1.34614688759206</v>
      </c>
      <c r="AP461" s="30" t="str">
        <f t="shared" si="402"/>
        <v>5,10071332955499-26,8608321649235i</v>
      </c>
      <c r="AQ461" s="32">
        <f t="shared" si="403"/>
        <v>28.7362373532564</v>
      </c>
      <c r="AR461" s="31">
        <f t="shared" si="404"/>
        <v>-79.2478896912822</v>
      </c>
      <c r="AS461" t="str">
        <f t="shared" si="380"/>
        <v>-0,000100699300699301</v>
      </c>
      <c r="AT461" t="str">
        <f t="shared" si="381"/>
        <v>0,379999426152397i</v>
      </c>
      <c r="AU461">
        <f t="shared" si="405"/>
        <v>0.379999426152397</v>
      </c>
      <c r="AV461">
        <f t="shared" si="406"/>
        <v>1.5707963267949</v>
      </c>
      <c r="AW461" t="str">
        <f t="shared" si="382"/>
        <v>1+19,4552736310025i</v>
      </c>
      <c r="AX461">
        <f t="shared" si="407"/>
        <v>19.4809566514887</v>
      </c>
      <c r="AY461">
        <f t="shared" si="408"/>
        <v>1.51944157533536</v>
      </c>
      <c r="AZ461" t="str">
        <f t="shared" si="383"/>
        <v>1+930,127656358779i</v>
      </c>
      <c r="BA461">
        <f t="shared" si="409"/>
        <v>930.128193919244</v>
      </c>
      <c r="BB461">
        <f t="shared" si="410"/>
        <v>1.56972120596834</v>
      </c>
      <c r="BC461" s="30" t="str">
        <f t="shared" si="411"/>
        <v>-0,000635894575385013+0,0126365015245016i</v>
      </c>
      <c r="BD461" s="32">
        <f t="shared" si="412"/>
        <v>-37.9564791453239</v>
      </c>
      <c r="BE461" s="31">
        <f t="shared" si="413"/>
        <v>92.8808106307466</v>
      </c>
      <c r="BF461" s="30" t="str">
        <f t="shared" si="414"/>
        <v>0,00277795799551554-0,0340361377026887i</v>
      </c>
      <c r="BG461" s="68">
        <f t="shared" si="415"/>
        <v>-29.3323600478737</v>
      </c>
      <c r="BH461" s="31">
        <f t="shared" si="416"/>
        <v>-85.3339814690611</v>
      </c>
      <c r="BI461" s="30" t="str">
        <f t="shared" si="423"/>
        <v>0,336183430664579+0,0815358292289694i</v>
      </c>
      <c r="BJ461" s="68">
        <f t="shared" si="417"/>
        <v>-9.22024179206749</v>
      </c>
      <c r="BK461" s="31">
        <f t="shared" si="424"/>
        <v>13.6329209394644</v>
      </c>
      <c r="BL461" s="32">
        <f t="shared" si="418"/>
        <v>-29.3323600478737</v>
      </c>
      <c r="BM461" s="31">
        <f t="shared" si="419"/>
        <v>-85.3339814690611</v>
      </c>
      <c r="BO461">
        <f t="shared" si="420"/>
        <v>0</v>
      </c>
      <c r="BP461">
        <f t="shared" si="421"/>
        <v>0</v>
      </c>
    </row>
    <row r="462" spans="14:68">
      <c r="N462" s="7">
        <v>44</v>
      </c>
      <c r="O462" s="18">
        <f t="shared" si="422"/>
        <v>275422.870333817</v>
      </c>
      <c r="P462" s="86" t="str">
        <f t="shared" si="372"/>
        <v>60</v>
      </c>
      <c r="Q462" s="4" t="str">
        <f t="shared" si="373"/>
        <v>1+2261,22969799975i</v>
      </c>
      <c r="R462" s="4">
        <f t="shared" si="384"/>
        <v>2261.22991911836</v>
      </c>
      <c r="S462" s="4">
        <f t="shared" si="385"/>
        <v>1.57035408957517</v>
      </c>
      <c r="T462" s="4" t="str">
        <f t="shared" si="374"/>
        <v>1+27,1347563759971i</v>
      </c>
      <c r="U462" s="4">
        <f t="shared" si="386"/>
        <v>27.1531766757541</v>
      </c>
      <c r="V462" s="4">
        <f t="shared" si="387"/>
        <v>1.53395989319607</v>
      </c>
      <c r="W462" t="str">
        <f t="shared" si="375"/>
        <v>1-37,8554078906209i</v>
      </c>
      <c r="X462" s="4">
        <f t="shared" si="388"/>
        <v>37.8686137396827</v>
      </c>
      <c r="Y462" s="4">
        <f t="shared" si="389"/>
        <v>-1.54438616386191</v>
      </c>
      <c r="Z462" t="str">
        <f t="shared" si="376"/>
        <v>0,380752999976169+10,1006616039348i</v>
      </c>
      <c r="AA462" s="4">
        <f t="shared" si="390"/>
        <v>10.1078354598892</v>
      </c>
      <c r="AB462" s="4">
        <f t="shared" si="391"/>
        <v>1.5331183190139</v>
      </c>
      <c r="AC462" s="67" t="str">
        <f t="shared" si="392"/>
        <v>-2,69824792932627-0,0747443184208622i</v>
      </c>
      <c r="AD462" s="68">
        <f t="shared" si="393"/>
        <v>8.62496832335518</v>
      </c>
      <c r="AE462" s="31">
        <f t="shared" si="394"/>
        <v>-178.413252152667</v>
      </c>
      <c r="AF462" s="32" t="str">
        <f t="shared" si="395"/>
        <v>326,048966736478</v>
      </c>
      <c r="AG462" s="32" t="str">
        <f t="shared" si="377"/>
        <v>1+1453,64766299984i</v>
      </c>
      <c r="AH462" s="32">
        <f t="shared" si="396"/>
        <v>1453.6480069621</v>
      </c>
      <c r="AI462" s="32">
        <f t="shared" si="397"/>
        <v>1.57010840229455</v>
      </c>
      <c r="AJ462" s="32" t="str">
        <f t="shared" si="378"/>
        <v>1+27,1347563759971i</v>
      </c>
      <c r="AK462" s="32">
        <f t="shared" si="398"/>
        <v>27.1531766757541</v>
      </c>
      <c r="AL462" s="32">
        <f t="shared" si="399"/>
        <v>1.53395989319607</v>
      </c>
      <c r="AM462" s="32" t="str">
        <f t="shared" si="379"/>
        <v>1-4,47817940917274i</v>
      </c>
      <c r="AN462" s="32">
        <f t="shared" si="400"/>
        <v>4.58847369184337</v>
      </c>
      <c r="AO462" s="32">
        <f t="shared" si="401"/>
        <v>-1.3510957630202</v>
      </c>
      <c r="AP462" s="30" t="str">
        <f t="shared" si="402"/>
        <v>5,10070617140884-27,4760958987477i</v>
      </c>
      <c r="AQ462" s="32">
        <f t="shared" si="403"/>
        <v>28.9262492497883</v>
      </c>
      <c r="AR462" s="31">
        <f t="shared" si="404"/>
        <v>-79.4832419460985</v>
      </c>
      <c r="AS462" t="str">
        <f t="shared" si="380"/>
        <v>-0,000100699300699301</v>
      </c>
      <c r="AT462" t="str">
        <f t="shared" si="381"/>
        <v>0,388850749852457i</v>
      </c>
      <c r="AU462">
        <f t="shared" si="405"/>
        <v>0.388850749852457</v>
      </c>
      <c r="AV462">
        <f t="shared" si="406"/>
        <v>1.5707963267949</v>
      </c>
      <c r="AW462" t="str">
        <f t="shared" si="382"/>
        <v>1+19,9084451695096i</v>
      </c>
      <c r="AX462">
        <f t="shared" si="407"/>
        <v>19.9335443177416</v>
      </c>
      <c r="AY462">
        <f t="shared" si="408"/>
        <v>1.5206085674424</v>
      </c>
      <c r="AZ462" t="str">
        <f t="shared" si="383"/>
        <v>1+951,793112678468i</v>
      </c>
      <c r="BA462">
        <f t="shared" si="409"/>
        <v>951.79363800257</v>
      </c>
      <c r="BB462">
        <f t="shared" si="410"/>
        <v>1.56974567868794</v>
      </c>
      <c r="BC462" s="30" t="str">
        <f t="shared" si="411"/>
        <v>-0,000607346632780314+0,0123502935938428i</v>
      </c>
      <c r="BD462" s="32">
        <f t="shared" si="412"/>
        <v>-38.1559642925891</v>
      </c>
      <c r="BE462" s="31">
        <f t="shared" si="413"/>
        <v>92.8153490918344</v>
      </c>
      <c r="BF462" s="30" t="str">
        <f t="shared" si="414"/>
        <v>0,00256188607125209-0,0332787584060455i</v>
      </c>
      <c r="BG462" s="68">
        <f t="shared" si="415"/>
        <v>-29.5309959692339</v>
      </c>
      <c r="BH462" s="31">
        <f t="shared" si="416"/>
        <v>-85.5979030608329</v>
      </c>
      <c r="BI462" s="30" t="str">
        <f t="shared" si="423"/>
        <v>0,336239954444107+0,0796827330788784i</v>
      </c>
      <c r="BJ462" s="68">
        <f t="shared" si="417"/>
        <v>-9.22971504280078</v>
      </c>
      <c r="BK462" s="31">
        <f t="shared" si="424"/>
        <v>13.3321071457359</v>
      </c>
      <c r="BL462" s="32">
        <f t="shared" si="418"/>
        <v>-29.5309959692339</v>
      </c>
      <c r="BM462" s="31">
        <f t="shared" si="419"/>
        <v>-85.5979030608329</v>
      </c>
      <c r="BO462">
        <f t="shared" si="420"/>
        <v>0</v>
      </c>
      <c r="BP462">
        <f t="shared" si="421"/>
        <v>0</v>
      </c>
    </row>
    <row r="463" spans="14:68">
      <c r="N463" s="7">
        <v>45</v>
      </c>
      <c r="O463" s="18">
        <f t="shared" si="422"/>
        <v>281838.293126446</v>
      </c>
      <c r="P463" s="86" t="str">
        <f t="shared" si="372"/>
        <v>60</v>
      </c>
      <c r="Q463" s="4" t="str">
        <f t="shared" si="373"/>
        <v>1+2313,90050390027i</v>
      </c>
      <c r="R463" s="4">
        <f t="shared" si="384"/>
        <v>2313.90071998561</v>
      </c>
      <c r="S463" s="4">
        <f t="shared" si="385"/>
        <v>1.57036415612202</v>
      </c>
      <c r="T463" s="4" t="str">
        <f t="shared" si="374"/>
        <v>1+27,7668060468033i</v>
      </c>
      <c r="U463" s="4">
        <f t="shared" si="386"/>
        <v>27.7848073241618</v>
      </c>
      <c r="V463" s="4">
        <f t="shared" si="387"/>
        <v>1.53479766014987</v>
      </c>
      <c r="W463" t="str">
        <f t="shared" si="375"/>
        <v>1-38,7371736144019i</v>
      </c>
      <c r="X463" s="4">
        <f t="shared" si="388"/>
        <v>38.7500789629172</v>
      </c>
      <c r="Y463" s="4">
        <f t="shared" si="389"/>
        <v>-1.54498706252804</v>
      </c>
      <c r="Z463" t="str">
        <f t="shared" si="376"/>
        <v>0,351568787980172+10,3359362367057i</v>
      </c>
      <c r="AA463" s="4">
        <f t="shared" si="390"/>
        <v>10.3419136769714</v>
      </c>
      <c r="AB463" s="4">
        <f t="shared" si="391"/>
        <v>1.53679521751208</v>
      </c>
      <c r="AC463" s="67" t="str">
        <f t="shared" si="392"/>
        <v>-2,69872080953125-0,065440278606142i</v>
      </c>
      <c r="AD463" s="68">
        <f t="shared" si="393"/>
        <v>8.62571204088161</v>
      </c>
      <c r="AE463" s="31">
        <f t="shared" si="394"/>
        <v>-178.610928135776</v>
      </c>
      <c r="AF463" s="32" t="str">
        <f t="shared" si="395"/>
        <v>326,048966736478</v>
      </c>
      <c r="AG463" s="32" t="str">
        <f t="shared" si="377"/>
        <v>1+1487,50746679304i</v>
      </c>
      <c r="AH463" s="32">
        <f t="shared" si="396"/>
        <v>1487.50780292577</v>
      </c>
      <c r="AI463" s="32">
        <f t="shared" si="397"/>
        <v>1.57012406136317</v>
      </c>
      <c r="AJ463" s="32" t="str">
        <f t="shared" si="378"/>
        <v>1+27,7668060468033i</v>
      </c>
      <c r="AK463" s="32">
        <f t="shared" si="398"/>
        <v>27.7848073241618</v>
      </c>
      <c r="AL463" s="32">
        <f t="shared" si="399"/>
        <v>1.53479766014987</v>
      </c>
      <c r="AM463" s="32" t="str">
        <f t="shared" si="379"/>
        <v>1-4,58248960758243i</v>
      </c>
      <c r="AN463" s="32">
        <f t="shared" si="400"/>
        <v>4.69033165177058</v>
      </c>
      <c r="AO463" s="32">
        <f t="shared" si="401"/>
        <v>-1.35594258058659</v>
      </c>
      <c r="AP463" s="30" t="str">
        <f t="shared" si="402"/>
        <v>5,10069933543198-28,1059278218627i</v>
      </c>
      <c r="AQ463" s="32">
        <f t="shared" si="403"/>
        <v>29.1166903558199</v>
      </c>
      <c r="AR463" s="31">
        <f t="shared" si="404"/>
        <v>-79.7138408245973</v>
      </c>
      <c r="AS463" t="str">
        <f t="shared" si="380"/>
        <v>-0,000100699300699301</v>
      </c>
      <c r="AT463" t="str">
        <f t="shared" si="381"/>
        <v>0,397908247367137i</v>
      </c>
      <c r="AU463">
        <f t="shared" si="405"/>
        <v>0.397908247367137</v>
      </c>
      <c r="AV463">
        <f t="shared" si="406"/>
        <v>1.5707963267949</v>
      </c>
      <c r="AW463" t="str">
        <f t="shared" si="382"/>
        <v>1+20,3721724291648i</v>
      </c>
      <c r="AX463">
        <f t="shared" si="407"/>
        <v>20.3967009460751</v>
      </c>
      <c r="AY463">
        <f t="shared" si="408"/>
        <v>1.52174912778196</v>
      </c>
      <c r="AZ463" t="str">
        <f t="shared" si="383"/>
        <v>1+973,963222304962i</v>
      </c>
      <c r="BA463">
        <f t="shared" si="409"/>
        <v>973.963735671234</v>
      </c>
      <c r="BB463">
        <f t="shared" si="410"/>
        <v>1.56976959434165</v>
      </c>
      <c r="BC463" s="30" t="str">
        <f t="shared" si="411"/>
        <v>-0,000580077236815162+0,0120705051506582i</v>
      </c>
      <c r="BD463" s="32">
        <f t="shared" si="412"/>
        <v>-38.3554725550112</v>
      </c>
      <c r="BE463" s="31">
        <f t="shared" si="413"/>
        <v>92.7513700641197</v>
      </c>
      <c r="BF463" s="30" t="str">
        <f t="shared" si="414"/>
        <v>0,00235536373010441-0,0325369630156452i</v>
      </c>
      <c r="BG463" s="68">
        <f t="shared" si="415"/>
        <v>-29.7297605141296</v>
      </c>
      <c r="BH463" s="31">
        <f t="shared" si="416"/>
        <v>-85.8595580716565</v>
      </c>
      <c r="BI463" s="30" t="str">
        <f t="shared" si="423"/>
        <v>0,336293946961499+0,0778716265493231i</v>
      </c>
      <c r="BJ463" s="68">
        <f t="shared" si="417"/>
        <v>-9.23878219919128</v>
      </c>
      <c r="BK463" s="31">
        <f t="shared" si="424"/>
        <v>13.0375292395224</v>
      </c>
      <c r="BL463" s="32">
        <f t="shared" si="418"/>
        <v>-29.7297605141296</v>
      </c>
      <c r="BM463" s="31">
        <f t="shared" si="419"/>
        <v>-85.8595580716565</v>
      </c>
      <c r="BO463">
        <f t="shared" si="420"/>
        <v>0</v>
      </c>
      <c r="BP463">
        <f t="shared" si="421"/>
        <v>0</v>
      </c>
    </row>
    <row r="464" spans="14:68">
      <c r="N464" s="7">
        <v>46</v>
      </c>
      <c r="O464" s="18">
        <f t="shared" si="422"/>
        <v>288403.150312661</v>
      </c>
      <c r="P464" s="86" t="str">
        <f t="shared" si="372"/>
        <v>60</v>
      </c>
      <c r="Q464" s="4" t="str">
        <f t="shared" si="373"/>
        <v>1+2367,79817047606i</v>
      </c>
      <c r="R464" s="4">
        <f t="shared" si="384"/>
        <v>2367.7983816427</v>
      </c>
      <c r="S464" s="4">
        <f t="shared" si="385"/>
        <v>1.57037399352637</v>
      </c>
      <c r="T464" s="4" t="str">
        <f t="shared" si="374"/>
        <v>1+28,4135780457127i</v>
      </c>
      <c r="U464" s="4">
        <f t="shared" si="386"/>
        <v>28.4311698204595</v>
      </c>
      <c r="V464" s="4">
        <f t="shared" si="387"/>
        <v>1.53561640605154</v>
      </c>
      <c r="W464" t="str">
        <f t="shared" si="375"/>
        <v>1-39,6394783003805i</v>
      </c>
      <c r="X464" s="4">
        <f t="shared" si="388"/>
        <v>39.6520899818198</v>
      </c>
      <c r="Y464" s="4">
        <f t="shared" si="389"/>
        <v>-1.54557430108516</v>
      </c>
      <c r="Z464" t="str">
        <f t="shared" si="376"/>
        <v>0,321009166446792+10,5766911196817i</v>
      </c>
      <c r="AA464" s="4">
        <f t="shared" si="390"/>
        <v>10.5815614124805</v>
      </c>
      <c r="AB464" s="4">
        <f t="shared" si="391"/>
        <v>1.54045501775148</v>
      </c>
      <c r="AC464" s="67" t="str">
        <f t="shared" si="392"/>
        <v>-2,69912862694623-0,0561654926075058i</v>
      </c>
      <c r="AD464" s="68">
        <f t="shared" si="393"/>
        <v>8.6263517327521</v>
      </c>
      <c r="AE464" s="31">
        <f t="shared" si="394"/>
        <v>-178.807918491336</v>
      </c>
      <c r="AF464" s="32" t="str">
        <f t="shared" si="395"/>
        <v>326,048966736478</v>
      </c>
      <c r="AG464" s="32" t="str">
        <f t="shared" si="377"/>
        <v>1+1522,15596673461i</v>
      </c>
      <c r="AH464" s="32">
        <f t="shared" si="396"/>
        <v>1522.15629521603</v>
      </c>
      <c r="AI464" s="32">
        <f t="shared" si="397"/>
        <v>1.5701393639882</v>
      </c>
      <c r="AJ464" s="32" t="str">
        <f t="shared" si="378"/>
        <v>1+28,4135780457127i</v>
      </c>
      <c r="AK464" s="32">
        <f t="shared" si="398"/>
        <v>28.4311698204595</v>
      </c>
      <c r="AL464" s="32">
        <f t="shared" si="399"/>
        <v>1.53561640605154</v>
      </c>
      <c r="AM464" s="32" t="str">
        <f t="shared" si="379"/>
        <v>1-4,68922950263849i</v>
      </c>
      <c r="AN464" s="32">
        <f t="shared" si="400"/>
        <v>4.79467134727869</v>
      </c>
      <c r="AO464" s="32">
        <f t="shared" si="401"/>
        <v>-1.36068899884425</v>
      </c>
      <c r="AP464" s="30" t="str">
        <f t="shared" si="402"/>
        <v>5,10069280712454-28,7506618795214i</v>
      </c>
      <c r="AQ464" s="32">
        <f t="shared" si="403"/>
        <v>29.3075430629819</v>
      </c>
      <c r="AR464" s="31">
        <f t="shared" si="404"/>
        <v>-79.9397566497349</v>
      </c>
      <c r="AS464" t="str">
        <f t="shared" si="380"/>
        <v>-0,000100699300699301</v>
      </c>
      <c r="AT464" t="str">
        <f t="shared" si="381"/>
        <v>0,407176721101507i</v>
      </c>
      <c r="AU464">
        <f t="shared" si="405"/>
        <v>0.407176721101507</v>
      </c>
      <c r="AV464">
        <f t="shared" si="406"/>
        <v>1.5707963267949</v>
      </c>
      <c r="AW464" t="str">
        <f t="shared" si="382"/>
        <v>1+20,8467012842995i</v>
      </c>
      <c r="AX464">
        <f t="shared" si="407"/>
        <v>20.8706721127235</v>
      </c>
      <c r="AY464">
        <f t="shared" si="408"/>
        <v>1.52286384921763</v>
      </c>
      <c r="AZ464" t="str">
        <f t="shared" si="383"/>
        <v>1+996,64974012385i</v>
      </c>
      <c r="BA464">
        <f t="shared" si="409"/>
        <v>996.650241804485</v>
      </c>
      <c r="BB464">
        <f t="shared" si="410"/>
        <v>1.56979296560975</v>
      </c>
      <c r="BC464" s="30" t="str">
        <f t="shared" si="411"/>
        <v>-0,000554029397755893+0,0117969964034841i</v>
      </c>
      <c r="BD464" s="32">
        <f t="shared" si="412"/>
        <v>-38.5550028972434</v>
      </c>
      <c r="BE464" s="31">
        <f t="shared" si="413"/>
        <v>92.688840305547</v>
      </c>
      <c r="BF464" s="30" t="str">
        <f t="shared" si="414"/>
        <v>0,00215798072194337-0,0318104933705817i</v>
      </c>
      <c r="BG464" s="68">
        <f t="shared" si="415"/>
        <v>-29.9286511644913</v>
      </c>
      <c r="BH464" s="31">
        <f t="shared" si="416"/>
        <v>-86.1190781857889</v>
      </c>
      <c r="BI464" s="30" t="str">
        <f t="shared" si="423"/>
        <v>0,336345521026432+0,07610156658712i</v>
      </c>
      <c r="BJ464" s="68">
        <f t="shared" si="417"/>
        <v>-9.24745983426153</v>
      </c>
      <c r="BK464" s="31">
        <f t="shared" si="424"/>
        <v>12.7490836558121</v>
      </c>
      <c r="BL464" s="32">
        <f t="shared" si="418"/>
        <v>-29.9286511644913</v>
      </c>
      <c r="BM464" s="31">
        <f t="shared" si="419"/>
        <v>-86.1190781857889</v>
      </c>
      <c r="BO464">
        <f t="shared" si="420"/>
        <v>0</v>
      </c>
      <c r="BP464">
        <f t="shared" si="421"/>
        <v>0</v>
      </c>
    </row>
    <row r="465" spans="14:68">
      <c r="N465" s="7">
        <v>47</v>
      </c>
      <c r="O465" s="18">
        <f t="shared" si="422"/>
        <v>295120.922666639</v>
      </c>
      <c r="P465" s="86" t="str">
        <f t="shared" si="372"/>
        <v>60</v>
      </c>
      <c r="Q465" s="4" t="str">
        <f t="shared" si="373"/>
        <v>1+2422,95127498334i</v>
      </c>
      <c r="R465" s="4">
        <f t="shared" si="384"/>
        <v>2422.95148134324</v>
      </c>
      <c r="S465" s="4">
        <f t="shared" si="385"/>
        <v>1.57038360700414</v>
      </c>
      <c r="T465" s="4" t="str">
        <f t="shared" si="374"/>
        <v>1+29,0754152998001i</v>
      </c>
      <c r="U465" s="4">
        <f t="shared" si="386"/>
        <v>29.0926068762469</v>
      </c>
      <c r="V465" s="4">
        <f t="shared" si="387"/>
        <v>1.53641656061776</v>
      </c>
      <c r="W465" t="str">
        <f t="shared" si="375"/>
        <v>1-40,5628003624443i</v>
      </c>
      <c r="X465" s="4">
        <f t="shared" si="388"/>
        <v>40.5751250551802</v>
      </c>
      <c r="Y465" s="4">
        <f t="shared" si="389"/>
        <v>-1.54614818927391</v>
      </c>
      <c r="Z465" t="str">
        <f t="shared" si="376"/>
        <v>0,289009314321561+10,8230539042884i</v>
      </c>
      <c r="AA465" s="4">
        <f t="shared" si="390"/>
        <v>10.8269119419573</v>
      </c>
      <c r="AB465" s="4">
        <f t="shared" si="391"/>
        <v>1.54409955036626</v>
      </c>
      <c r="AC465" s="67" t="str">
        <f t="shared" si="392"/>
        <v>-2,69947216674636-0,0469157926039109i</v>
      </c>
      <c r="AD465" s="68">
        <f t="shared" si="393"/>
        <v>8.62688867277213</v>
      </c>
      <c r="AE465" s="31">
        <f t="shared" si="394"/>
        <v>-179.004321531689</v>
      </c>
      <c r="AF465" s="32" t="str">
        <f t="shared" si="395"/>
        <v>326,048966736478</v>
      </c>
      <c r="AG465" s="32" t="str">
        <f t="shared" si="377"/>
        <v>1+1557,61153391786i</v>
      </c>
      <c r="AH465" s="32">
        <f t="shared" si="396"/>
        <v>1557.61185492213</v>
      </c>
      <c r="AI465" s="32">
        <f t="shared" si="397"/>
        <v>1.57015431828325</v>
      </c>
      <c r="AJ465" s="32" t="str">
        <f t="shared" si="378"/>
        <v>1+29,0754152998001i</v>
      </c>
      <c r="AK465" s="32">
        <f t="shared" si="398"/>
        <v>29.0926068762469</v>
      </c>
      <c r="AL465" s="32">
        <f t="shared" si="399"/>
        <v>1.53641656061776</v>
      </c>
      <c r="AM465" s="32" t="str">
        <f t="shared" si="379"/>
        <v>1-4,79845568924612i</v>
      </c>
      <c r="AN465" s="32">
        <f t="shared" si="400"/>
        <v>4.90154842898226</v>
      </c>
      <c r="AO465" s="32">
        <f t="shared" si="401"/>
        <v>-1.36533667857501</v>
      </c>
      <c r="AP465" s="30" t="str">
        <f t="shared" si="402"/>
        <v>5,10068657263909-29,4106399182823i</v>
      </c>
      <c r="AQ465" s="32">
        <f t="shared" si="403"/>
        <v>29.4987904148399</v>
      </c>
      <c r="AR465" s="31">
        <f t="shared" si="404"/>
        <v>-80.1610604212255</v>
      </c>
      <c r="AS465" t="str">
        <f t="shared" si="380"/>
        <v>-0,000100699300699301</v>
      </c>
      <c r="AT465" t="str">
        <f t="shared" si="381"/>
        <v>0,416661085323027i</v>
      </c>
      <c r="AU465">
        <f t="shared" si="405"/>
        <v>0.416661085323027</v>
      </c>
      <c r="AV465">
        <f t="shared" si="406"/>
        <v>1.5707963267949</v>
      </c>
      <c r="AW465" t="str">
        <f t="shared" si="382"/>
        <v>1+21,3322833363939i</v>
      </c>
      <c r="AX465">
        <f t="shared" si="407"/>
        <v>21.3557091276358</v>
      </c>
      <c r="AY465">
        <f t="shared" si="408"/>
        <v>1.52395331170193</v>
      </c>
      <c r="AZ465" t="str">
        <f t="shared" si="383"/>
        <v>1+1019,86469482717i</v>
      </c>
      <c r="BA465">
        <f t="shared" si="409"/>
        <v>1019.86518508816</v>
      </c>
      <c r="BB465">
        <f t="shared" si="410"/>
        <v>1.5698158048839</v>
      </c>
      <c r="BC465" s="30" t="str">
        <f t="shared" si="411"/>
        <v>-0,000529148642305398+0,011529630323784i</v>
      </c>
      <c r="BD465" s="32">
        <f t="shared" si="412"/>
        <v>-38.754554330098</v>
      </c>
      <c r="BE465" s="31">
        <f t="shared" si="413"/>
        <v>92.6277272972746</v>
      </c>
      <c r="BF465" s="30" t="str">
        <f t="shared" si="414"/>
        <v>0,00196934377704546-0,0310990907239707i</v>
      </c>
      <c r="BG465" s="68">
        <f t="shared" si="415"/>
        <v>-30.1276656573259</v>
      </c>
      <c r="BH465" s="31">
        <f t="shared" si="416"/>
        <v>-86.3765942344146</v>
      </c>
      <c r="BI465" s="30" t="str">
        <f t="shared" si="423"/>
        <v>0,336394784468982+0,0743716307621096i</v>
      </c>
      <c r="BJ465" s="68">
        <f t="shared" si="417"/>
        <v>-9.25576391525813</v>
      </c>
      <c r="BK465" s="31">
        <f t="shared" si="424"/>
        <v>12.4666668760491</v>
      </c>
      <c r="BL465" s="32">
        <f t="shared" si="418"/>
        <v>-30.1276656573259</v>
      </c>
      <c r="BM465" s="31">
        <f t="shared" si="419"/>
        <v>-86.3765942344146</v>
      </c>
      <c r="BO465">
        <f t="shared" si="420"/>
        <v>0</v>
      </c>
      <c r="BP465">
        <f t="shared" si="421"/>
        <v>0</v>
      </c>
    </row>
    <row r="466" spans="14:68">
      <c r="N466" s="7">
        <v>48</v>
      </c>
      <c r="O466" s="18">
        <f t="shared" si="422"/>
        <v>301995.172040202</v>
      </c>
      <c r="P466" s="86" t="str">
        <f t="shared" si="372"/>
        <v>60</v>
      </c>
      <c r="Q466" s="4" t="str">
        <f t="shared" si="373"/>
        <v>1+2479,38906032817i</v>
      </c>
      <c r="R466" s="4">
        <f t="shared" si="384"/>
        <v>2479.38926199074</v>
      </c>
      <c r="S466" s="4">
        <f t="shared" si="385"/>
        <v>1.57039300165251</v>
      </c>
      <c r="T466" s="4" t="str">
        <f t="shared" si="374"/>
        <v>1+29,752668723938i</v>
      </c>
      <c r="U466" s="4">
        <f t="shared" si="386"/>
        <v>29.7694691957448</v>
      </c>
      <c r="V466" s="4">
        <f t="shared" si="387"/>
        <v>1.53719854400035</v>
      </c>
      <c r="W466" t="str">
        <f t="shared" si="375"/>
        <v>1-41,5076293581725i</v>
      </c>
      <c r="X466" s="4">
        <f t="shared" si="388"/>
        <v>41.5196735889798</v>
      </c>
      <c r="Y466" s="4">
        <f t="shared" si="389"/>
        <v>-1.54670902986448</v>
      </c>
      <c r="Z466" t="str">
        <f t="shared" si="376"/>
        <v>0,255501355627822+11,0751552153351i</v>
      </c>
      <c r="AA466" s="4">
        <f t="shared" si="390"/>
        <v>11.0781020028925</v>
      </c>
      <c r="AB466" s="4">
        <f t="shared" si="391"/>
        <v>1.54773064166933</v>
      </c>
      <c r="AC466" s="67" t="str">
        <f t="shared" si="392"/>
        <v>-2,69975208944219-0,0376870031068226i</v>
      </c>
      <c r="AD466" s="68">
        <f t="shared" si="393"/>
        <v>8.62732392785134</v>
      </c>
      <c r="AE466" s="31">
        <f t="shared" si="394"/>
        <v>-179.200235463431</v>
      </c>
      <c r="AF466" s="32" t="str">
        <f t="shared" si="395"/>
        <v>326,048966736478</v>
      </c>
      <c r="AG466" s="32" t="str">
        <f t="shared" si="377"/>
        <v>1+1593,89296735382i</v>
      </c>
      <c r="AH466" s="32">
        <f t="shared" si="396"/>
        <v>1593.89328105114</v>
      </c>
      <c r="AI466" s="32">
        <f t="shared" si="397"/>
        <v>1.57016893217727</v>
      </c>
      <c r="AJ466" s="32" t="str">
        <f t="shared" si="378"/>
        <v>1+29,752668723938i</v>
      </c>
      <c r="AK466" s="32">
        <f t="shared" si="398"/>
        <v>29.7694691957448</v>
      </c>
      <c r="AL466" s="32">
        <f t="shared" si="399"/>
        <v>1.53719854400035</v>
      </c>
      <c r="AM466" s="32" t="str">
        <f t="shared" si="379"/>
        <v>1-4,91022608057528i</v>
      </c>
      <c r="AN466" s="32">
        <f t="shared" si="400"/>
        <v>5.01101987247723</v>
      </c>
      <c r="AO466" s="32">
        <f t="shared" si="401"/>
        <v>-1.36988728051206</v>
      </c>
      <c r="AP466" s="30" t="str">
        <f t="shared" si="402"/>
        <v>5,10068061875147-30,0862118672633i</v>
      </c>
      <c r="AQ466" s="32">
        <f t="shared" si="403"/>
        <v>29.6904160887251</v>
      </c>
      <c r="AR466" s="31">
        <f t="shared" si="404"/>
        <v>-80.3778236734404</v>
      </c>
      <c r="AS466" t="str">
        <f t="shared" si="380"/>
        <v>-0,000100699300699301</v>
      </c>
      <c r="AT466" t="str">
        <f t="shared" si="381"/>
        <v>0,426366368767147i</v>
      </c>
      <c r="AU466">
        <f t="shared" si="405"/>
        <v>0.426366368767147</v>
      </c>
      <c r="AV466">
        <f t="shared" si="406"/>
        <v>1.5707963267949</v>
      </c>
      <c r="AW466" t="str">
        <f t="shared" si="382"/>
        <v>1+21,8291760474794i</v>
      </c>
      <c r="AX466">
        <f t="shared" si="407"/>
        <v>21.8520691677436</v>
      </c>
      <c r="AY466">
        <f t="shared" si="408"/>
        <v>1.52501808253149</v>
      </c>
      <c r="AZ466" t="str">
        <f t="shared" si="383"/>
        <v>1+1043,62039529119i</v>
      </c>
      <c r="BA466">
        <f t="shared" si="409"/>
        <v>1043.62087439249</v>
      </c>
      <c r="BB466">
        <f t="shared" si="410"/>
        <v>1.56983812427369</v>
      </c>
      <c r="BC466" s="30" t="str">
        <f t="shared" si="411"/>
        <v>-0,000505382904581988+0,0112682726106359i</v>
      </c>
      <c r="BD466" s="32">
        <f t="shared" si="412"/>
        <v>-38.9541259085076</v>
      </c>
      <c r="BE466" s="31">
        <f t="shared" si="413"/>
        <v>92.5679992294282</v>
      </c>
      <c r="BF466" s="30" t="str">
        <f t="shared" si="414"/>
        <v>0,00178907597749914-0,0304024961578734i</v>
      </c>
      <c r="BG466" s="68">
        <f t="shared" si="415"/>
        <v>-30.3268019806562</v>
      </c>
      <c r="BH466" s="31">
        <f t="shared" si="416"/>
        <v>-86.6322362340028</v>
      </c>
      <c r="BI466" s="30" t="str">
        <f t="shared" si="423"/>
        <v>0,336441840355222+0,0726809168532252i</v>
      </c>
      <c r="BJ466" s="68">
        <f t="shared" si="417"/>
        <v>-9.26370981978253</v>
      </c>
      <c r="BK466" s="31">
        <f t="shared" si="424"/>
        <v>12.1901755559878</v>
      </c>
      <c r="BL466" s="32">
        <f t="shared" si="418"/>
        <v>-30.3268019806562</v>
      </c>
      <c r="BM466" s="31">
        <f t="shared" si="419"/>
        <v>-86.6322362340028</v>
      </c>
      <c r="BO466">
        <f t="shared" si="420"/>
        <v>0</v>
      </c>
      <c r="BP466">
        <f t="shared" si="421"/>
        <v>0</v>
      </c>
    </row>
    <row r="467" spans="14:68">
      <c r="N467" s="7">
        <v>49</v>
      </c>
      <c r="O467" s="18">
        <f t="shared" si="422"/>
        <v>309029.543251359</v>
      </c>
      <c r="P467" s="86" t="str">
        <f t="shared" ref="P467:P530" si="425">COMPLEX(Adc,0)</f>
        <v>60</v>
      </c>
      <c r="Q467" s="4" t="str">
        <f t="shared" ref="Q467:Q530" si="426">IMSUM(COMPLEX(1,0),IMDIV(COMPLEX(0,2*PI()*O467),COMPLEX(wp_lf,0)))</f>
        <v>1+2537,14145057138i</v>
      </c>
      <c r="R467" s="4">
        <f t="shared" si="384"/>
        <v>2537.14164764355</v>
      </c>
      <c r="S467" s="4">
        <f t="shared" si="385"/>
        <v>1.57040218245265</v>
      </c>
      <c r="T467" s="4" t="str">
        <f t="shared" ref="T467:T530" si="427">IMSUM(COMPLEX(1,0),IMDIV(COMPLEX(0,2*PI()*O467),COMPLEX(wz_esr,0)))</f>
        <v>1+30,4456974068565i</v>
      </c>
      <c r="U467" s="4">
        <f t="shared" si="386"/>
        <v>30.4621156617506</v>
      </c>
      <c r="V467" s="4">
        <f t="shared" si="387"/>
        <v>1.53796276698962</v>
      </c>
      <c r="W467" t="str">
        <f t="shared" ref="W467:W530" si="428">IMSUB(COMPLEX(1,0),IMDIV(COMPLEX(0,2*PI()*O467),COMPLEX(wz_rhp,0)))</f>
        <v>1-42,4744662484048i</v>
      </c>
      <c r="X467" s="4">
        <f t="shared" si="388"/>
        <v>42.4862363958833</v>
      </c>
      <c r="Y467" s="4">
        <f t="shared" si="389"/>
        <v>-1.5472571188099</v>
      </c>
      <c r="Z467" t="str">
        <f t="shared" ref="Z467:Z530" si="429">IMSUM(COMPLEX(1,0),IMDIV(COMPLEX(0,2*PI()*O467),COMPLEX(Q*(wsl/2),0)),IMDIV(IMPOWER(COMPLEX(0,2*PI()*O467),2),IMPOWER(COMPLEX(wsl/2,0),2)))</f>
        <v>0,220414215492699+11,3331287202741i</v>
      </c>
      <c r="AA467" s="4">
        <f t="shared" si="390"/>
        <v>11.3352718986663</v>
      </c>
      <c r="AB467" s="4">
        <f t="shared" si="391"/>
        <v>1.55135011413475</v>
      </c>
      <c r="AC467" s="67" t="str">
        <f t="shared" si="392"/>
        <v>-2,69996893173255-0,028474941997586i</v>
      </c>
      <c r="AD467" s="68">
        <f t="shared" si="393"/>
        <v>8.62765835967651</v>
      </c>
      <c r="AE467" s="31">
        <f t="shared" si="394"/>
        <v>-179.395758412342</v>
      </c>
      <c r="AF467" s="32" t="str">
        <f t="shared" si="395"/>
        <v>326,048966736478</v>
      </c>
      <c r="AG467" s="32" t="str">
        <f t="shared" ref="AG467:AG530" si="430">IMSUM(COMPLEX(1,0),IMDIV(COMPLEX(0,2*PI()*O467),COMPLEX(wp_lf_DCM,0)))</f>
        <v>1+1631,01950393874i</v>
      </c>
      <c r="AH467" s="32">
        <f t="shared" si="396"/>
        <v>1631.01981049544</v>
      </c>
      <c r="AI467" s="32">
        <f t="shared" si="397"/>
        <v>1.5701832134187</v>
      </c>
      <c r="AJ467" s="32" t="str">
        <f t="shared" ref="AJ467:AJ530" si="431">IMSUM(COMPLEX(1,0),IMDIV(COMPLEX(0,2*PI()*O467),COMPLEX(wz1_dcm,0)))</f>
        <v>1+30,4456974068565i</v>
      </c>
      <c r="AK467" s="32">
        <f t="shared" si="398"/>
        <v>30.4621156617506</v>
      </c>
      <c r="AL467" s="32">
        <f t="shared" si="399"/>
        <v>1.53796276698962</v>
      </c>
      <c r="AM467" s="32" t="str">
        <f t="shared" ref="AM467:AM530" si="432">IMSUB(COMPLEX(1,0),IMDIV(COMPLEX(0,2*PI()*O467),COMPLEX(wz2_dcm,0)))</f>
        <v>1-5,02459993876687i</v>
      </c>
      <c r="AN467" s="32">
        <f t="shared" si="400"/>
        <v>5.12314400975183</v>
      </c>
      <c r="AO467" s="32">
        <f t="shared" si="401"/>
        <v>-1.3743424632197</v>
      </c>
      <c r="AP467" s="30" t="str">
        <f t="shared" si="402"/>
        <v>5,10067493283273-30,7777359236781i</v>
      </c>
      <c r="AQ467" s="32">
        <f t="shared" si="403"/>
        <v>29.8824043775417</v>
      </c>
      <c r="AR467" s="31">
        <f t="shared" si="404"/>
        <v>-80.5901183425161</v>
      </c>
      <c r="AS467" t="str">
        <f t="shared" ref="AS467:AS530" si="433">COMPLEX(Adc_ea,0)</f>
        <v>-0,000100699300699301</v>
      </c>
      <c r="AT467" t="str">
        <f t="shared" ref="AT467:AT530" si="434">COMPLEX(0,2*PI()*O467*wp0_ea)</f>
        <v>0,436297717303613i</v>
      </c>
      <c r="AU467">
        <f t="shared" si="405"/>
        <v>0.436297717303613</v>
      </c>
      <c r="AV467">
        <f t="shared" si="406"/>
        <v>1.5707963267949</v>
      </c>
      <c r="AW467" t="str">
        <f t="shared" ref="AW467:AW530" si="435">IMSUM(COMPLEX(1,0),IMDIV(COMPLEX(0,2*PI()*O467),COMPLEX(wp1_ea,0)))</f>
        <v>1+22,3376428766485i</v>
      </c>
      <c r="AX467">
        <f t="shared" si="407"/>
        <v>22.3600154133374</v>
      </c>
      <c r="AY467">
        <f t="shared" si="408"/>
        <v>1.52605871659905</v>
      </c>
      <c r="AZ467" t="str">
        <f t="shared" ref="AZ467:AZ530" si="436">IMSUM(COMPLEX(1,0),IMDIV(COMPLEX(0,2*PI()*O467),COMPLEX(wz_ea,0)))</f>
        <v>1+1067,92943710275i</v>
      </c>
      <c r="BA467">
        <f t="shared" si="409"/>
        <v>1067.92990529837</v>
      </c>
      <c r="BB467">
        <f t="shared" si="410"/>
        <v>1.56985993561306</v>
      </c>
      <c r="BC467" s="30" t="str">
        <f t="shared" si="411"/>
        <v>-0,000482682421636348+0,0110127916544262i</v>
      </c>
      <c r="BD467" s="32">
        <f t="shared" si="412"/>
        <v>-39.1537167295742</v>
      </c>
      <c r="BE467" s="31">
        <f t="shared" si="413"/>
        <v>92.5096249870311</v>
      </c>
      <c r="BF467" s="30" t="str">
        <f t="shared" si="414"/>
        <v>0,00161681614590286-0,0297204509646349i</v>
      </c>
      <c r="BG467" s="68">
        <f t="shared" si="415"/>
        <v>-30.5260583698976</v>
      </c>
      <c r="BH467" s="31">
        <f t="shared" si="416"/>
        <v>-86.8861334253109</v>
      </c>
      <c r="BI467" s="30" t="str">
        <f t="shared" si="423"/>
        <v>0,336486787193856+0,0710285424403662i</v>
      </c>
      <c r="BJ467" s="68">
        <f t="shared" si="417"/>
        <v>-9.27131235203244</v>
      </c>
      <c r="BK467" s="31">
        <f t="shared" si="424"/>
        <v>11.919506644515</v>
      </c>
      <c r="BL467" s="32">
        <f t="shared" si="418"/>
        <v>-30.5260583698976</v>
      </c>
      <c r="BM467" s="31">
        <f t="shared" si="419"/>
        <v>-86.8861334253109</v>
      </c>
      <c r="BO467">
        <f t="shared" si="420"/>
        <v>0</v>
      </c>
      <c r="BP467">
        <f t="shared" si="421"/>
        <v>0</v>
      </c>
    </row>
    <row r="468" spans="14:68">
      <c r="N468" s="7">
        <v>50</v>
      </c>
      <c r="O468" s="18">
        <f t="shared" si="422"/>
        <v>316227.766016838</v>
      </c>
      <c r="P468" s="86" t="str">
        <f t="shared" si="425"/>
        <v>60</v>
      </c>
      <c r="Q468" s="4" t="str">
        <f t="shared" si="426"/>
        <v>1+2596,23906679471i</v>
      </c>
      <c r="R468" s="4">
        <f t="shared" ref="R468:R531" si="437">IMABS(Q468)</f>
        <v>2596.23925938097</v>
      </c>
      <c r="S468" s="4">
        <f t="shared" ref="S468:S531" si="438">IMARGUMENT(Q468)</f>
        <v>1.57041115427233</v>
      </c>
      <c r="T468" s="4" t="str">
        <f t="shared" si="427"/>
        <v>1+31,1548688015366i</v>
      </c>
      <c r="U468" s="4">
        <f t="shared" ref="U468:U531" si="439">IMABS(T468)</f>
        <v>31.1709135259292</v>
      </c>
      <c r="V468" s="4">
        <f t="shared" ref="V468:V531" si="440">IMARGUMENT(T468)</f>
        <v>1.53870963121399</v>
      </c>
      <c r="W468" t="str">
        <f t="shared" si="428"/>
        <v>1-43,463823662858i</v>
      </c>
      <c r="X468" s="4">
        <f t="shared" ref="X468:X531" si="441">IMABS(W468)</f>
        <v>43.4753259607793</v>
      </c>
      <c r="Y468" s="4">
        <f t="shared" ref="Y468:Y531" si="442">IMARGUMENT(W468)</f>
        <v>-1.54779274539626</v>
      </c>
      <c r="Z468" t="str">
        <f t="shared" si="429"/>
        <v>0,183673469387751+11,5971112000722i</v>
      </c>
      <c r="AA468" s="4">
        <f t="shared" ref="AA468:AA531" si="443">IMABS(Z468)</f>
        <v>11.5985656065824</v>
      </c>
      <c r="AB468" s="4">
        <f t="shared" ref="AB468:AB531" si="444">IMARGUMENT(Z468)</f>
        <v>1.55495978689236</v>
      </c>
      <c r="AC468" s="67" t="str">
        <f t="shared" ref="AC468:AC531" si="445">(IMDIV(IMPRODUCT(P468,T468,W468),IMPRODUCT(Q468,Z468)))</f>
        <v>-2,7001231071841-0,0192754214919999i</v>
      </c>
      <c r="AD468" s="68">
        <f t="shared" ref="AD468:AD531" si="446">20*LOG(IMABS(AC468))</f>
        <v>8.62789262603496</v>
      </c>
      <c r="AE468" s="31">
        <f t="shared" ref="AE468:AE531" si="447">(180/PI())*IMARGUMENT(AC468)</f>
        <v>-179.590988449046</v>
      </c>
      <c r="AF468" s="32" t="str">
        <f t="shared" ref="AF468:AF531" si="448">COMPLEX($B$68,0)</f>
        <v>326,048966736478</v>
      </c>
      <c r="AG468" s="32" t="str">
        <f t="shared" si="430"/>
        <v>1+1669,01082865375i</v>
      </c>
      <c r="AH468" s="32">
        <f t="shared" ref="AH468:AH531" si="449">IMABS(AG468)</f>
        <v>1669.01112823237</v>
      </c>
      <c r="AI468" s="32">
        <f t="shared" ref="AI468:AI531" si="450">IMARGUMENT(AG468)</f>
        <v>1.57019716957964</v>
      </c>
      <c r="AJ468" s="32" t="str">
        <f t="shared" si="431"/>
        <v>1+31,1548688015366i</v>
      </c>
      <c r="AK468" s="32">
        <f t="shared" ref="AK468:AK531" si="451">IMABS(AJ468)</f>
        <v>31.1709135259292</v>
      </c>
      <c r="AL468" s="32">
        <f t="shared" ref="AL468:AL531" si="452">IMARGUMENT(AJ468)</f>
        <v>1.53870963121399</v>
      </c>
      <c r="AM468" s="32" t="str">
        <f t="shared" si="432"/>
        <v>1-5,14163790635444i</v>
      </c>
      <c r="AN468" s="32">
        <f t="shared" ref="AN468:AN531" si="453">IMABS(AM468)</f>
        <v>5.23798056125267</v>
      </c>
      <c r="AO468" s="32">
        <f t="shared" ref="AO468:AO531" si="454">IMARGUMENT(AM468)</f>
        <v>-1.37870388112359</v>
      </c>
      <c r="AP468" s="30" t="str">
        <f t="shared" ref="AP468:AP531" si="455">(IMDIV(IMPRODUCT(AF468,AJ468,AM468),IMPRODUCT(AG468)))</f>
        <v>5,10066950282228-31,4855787427571i</v>
      </c>
      <c r="AQ468" s="32">
        <f t="shared" ref="AQ468:AQ531" si="456">20*LOG(IMABS(AP468))</f>
        <v>30.0747401716112</v>
      </c>
      <c r="AR468" s="31">
        <f t="shared" ref="AR468:AR531" si="457">(180/PI())*IMARGUMENT(AP468)</f>
        <v>-80.798016642296</v>
      </c>
      <c r="AS468" t="str">
        <f t="shared" si="433"/>
        <v>-0,000100699300699301</v>
      </c>
      <c r="AT468" t="str">
        <f t="shared" si="434"/>
        <v>0,446460396664877i</v>
      </c>
      <c r="AU468">
        <f t="shared" ref="AU468:AU531" si="458">IMABS(AT468)</f>
        <v>0.446460396664877</v>
      </c>
      <c r="AV468">
        <f t="shared" ref="AV468:AV531" si="459">IMARGUMENT(AT468)</f>
        <v>1.5707963267949</v>
      </c>
      <c r="AW468" t="str">
        <f t="shared" si="435"/>
        <v>1+22,8579534197445i</v>
      </c>
      <c r="AX468">
        <f t="shared" ref="AX468:AX531" si="460">IMABS(AW468)</f>
        <v>22.8798171876265</v>
      </c>
      <c r="AY468">
        <f t="shared" ref="AY468:AY531" si="461">IMARGUMENT(AW468)</f>
        <v>1.52707575664205</v>
      </c>
      <c r="AZ468" t="str">
        <f t="shared" si="436"/>
        <v>1+1092,80470923757i</v>
      </c>
      <c r="BA468">
        <f t="shared" ref="BA468:BA531" si="462">IMABS(AZ468)</f>
        <v>1092.80516677577</v>
      </c>
      <c r="BB468">
        <f t="shared" ref="BB468:BB531" si="463">IMARGUMENT(AZ468)</f>
        <v>1.5698812504666</v>
      </c>
      <c r="BC468" s="30" t="str">
        <f t="shared" ref="BC468:BC531" si="464">IMPRODUCT(AS468,IMDIV(AZ468,IMPRODUCT(AT468,AW468)))</f>
        <v>-0,000460999633334213+0,0107630584996861i</v>
      </c>
      <c r="BD468" s="32">
        <f t="shared" ref="BD468:BD531" si="465">20*LOG(IMABS(BC468))</f>
        <v>-39.3533259307036</v>
      </c>
      <c r="BE468" s="31">
        <f t="shared" ref="BE468:BE531" si="466">(180/PI())*IMARGUMENT(BC468)</f>
        <v>92.4525741361198</v>
      </c>
      <c r="BF468" s="30" t="str">
        <f t="shared" ref="BF468:BF531" si="467">IMPRODUCT(AC468,BC468)</f>
        <v>0,00145221825149361-0,0290526969967365i</v>
      </c>
      <c r="BG468" s="68">
        <f t="shared" ref="BG468:BG531" si="468">20*LOG(IMABS(BF468))</f>
        <v>-30.7254333046686</v>
      </c>
      <c r="BH468" s="31">
        <f t="shared" ref="BH468:BH531" si="469">(180/PI())*IMARGUMENT(BF468)</f>
        <v>-87.138414312926</v>
      </c>
      <c r="BI468" s="30" t="str">
        <f t="shared" si="423"/>
        <v>0,336529719134208+0,0694136445021675i</v>
      </c>
      <c r="BJ468" s="68">
        <f t="shared" ref="BJ468:BJ531" si="470">20*LOG(IMABS(BI468))</f>
        <v>-9.27858575909232</v>
      </c>
      <c r="BK468" s="31">
        <f t="shared" si="424"/>
        <v>11.6545574938238</v>
      </c>
      <c r="BL468" s="32">
        <f t="shared" ref="BL468:BL531" si="471">IF($B$31=0,BJ468,BG468)</f>
        <v>-30.7254333046686</v>
      </c>
      <c r="BM468" s="31">
        <f t="shared" ref="BM468:BM531" si="472">IF($B$31=0,BK468,BH468)</f>
        <v>-87.138414312926</v>
      </c>
      <c r="BO468">
        <f t="shared" ref="BO468:BO531" si="473">SUM((BL469&lt;0)*(BL468&gt;0))*O468</f>
        <v>0</v>
      </c>
      <c r="BP468">
        <f t="shared" ref="BP468:BP531" si="474">IF(BO468&gt;0,BM468,0)</f>
        <v>0</v>
      </c>
    </row>
    <row r="469" spans="14:68">
      <c r="N469" s="7">
        <v>51</v>
      </c>
      <c r="O469" s="18">
        <f t="shared" si="422"/>
        <v>323593.656929628</v>
      </c>
      <c r="P469" s="86" t="str">
        <f t="shared" si="425"/>
        <v>60</v>
      </c>
      <c r="Q469" s="4" t="str">
        <f t="shared" si="426"/>
        <v>1+2656,71324333655i</v>
      </c>
      <c r="R469" s="4">
        <f t="shared" si="437"/>
        <v>2656.71343153902</v>
      </c>
      <c r="S469" s="4">
        <f t="shared" si="438"/>
        <v>1.57041992186852</v>
      </c>
      <c r="T469" s="4" t="str">
        <f t="shared" si="427"/>
        <v>1+31,8805589200387i</v>
      </c>
      <c r="U469" s="4">
        <f t="shared" si="439"/>
        <v>31.8962386035416</v>
      </c>
      <c r="V469" s="4">
        <f t="shared" si="440"/>
        <v>1.53943952933601</v>
      </c>
      <c r="W469" t="str">
        <f t="shared" si="428"/>
        <v>1-44,4762261719289i</v>
      </c>
      <c r="X469" s="4">
        <f t="shared" si="441"/>
        <v>44.4874667125087</v>
      </c>
      <c r="Y469" s="4">
        <f t="shared" si="442"/>
        <v>-1.54831619238979</v>
      </c>
      <c r="Z469" t="str">
        <f t="shared" si="429"/>
        <v>0,145201185264569+11,8672426217345i</v>
      </c>
      <c r="AA469" s="4">
        <f t="shared" si="443"/>
        <v>11.8681308902166</v>
      </c>
      <c r="AB469" s="4">
        <f t="shared" si="444"/>
        <v>1.55856147623279</v>
      </c>
      <c r="AC469" s="67" t="str">
        <f t="shared" si="445"/>
        <v>-2,70021490673513-0,0100842490451113i</v>
      </c>
      <c r="AD469" s="68">
        <f t="shared" si="446"/>
        <v>8.62802718178592</v>
      </c>
      <c r="AE469" s="31">
        <f t="shared" si="447"/>
        <v>-179.78602361529</v>
      </c>
      <c r="AF469" s="32" t="str">
        <f t="shared" si="448"/>
        <v>326,048966736478</v>
      </c>
      <c r="AG469" s="32" t="str">
        <f t="shared" si="430"/>
        <v>1+1707,88708500207i</v>
      </c>
      <c r="AH469" s="32">
        <f t="shared" si="449"/>
        <v>1707.88737776145</v>
      </c>
      <c r="AI469" s="32">
        <f t="shared" si="450"/>
        <v>1.57021080805979</v>
      </c>
      <c r="AJ469" s="32" t="str">
        <f t="shared" si="431"/>
        <v>1+31,8805589200387i</v>
      </c>
      <c r="AK469" s="32">
        <f t="shared" si="451"/>
        <v>31.8962386035416</v>
      </c>
      <c r="AL469" s="32">
        <f t="shared" si="452"/>
        <v>1.53943952933601</v>
      </c>
      <c r="AM469" s="32" t="str">
        <f t="shared" si="432"/>
        <v>1-5,26140203841758i</v>
      </c>
      <c r="AN469" s="32">
        <f t="shared" si="453"/>
        <v>5.35559066862514</v>
      </c>
      <c r="AO469" s="32">
        <f t="shared" si="454"/>
        <v>-1.38297318268518</v>
      </c>
      <c r="AP469" s="30" t="str">
        <f t="shared" si="455"/>
        <v>5,10066431720243-32,2101156321538i</v>
      </c>
      <c r="AQ469" s="32">
        <f t="shared" si="456"/>
        <v>30.2674089406049</v>
      </c>
      <c r="AR469" s="31">
        <f t="shared" si="457"/>
        <v>-81.0015909487289</v>
      </c>
      <c r="AS469" t="str">
        <f t="shared" si="433"/>
        <v>-0,000100699300699301</v>
      </c>
      <c r="AT469" t="str">
        <f t="shared" si="434"/>
        <v>0,456859795238054i</v>
      </c>
      <c r="AU469">
        <f t="shared" si="458"/>
        <v>0.456859795238054</v>
      </c>
      <c r="AV469">
        <f t="shared" si="459"/>
        <v>1.5707963267949</v>
      </c>
      <c r="AW469" t="str">
        <f t="shared" si="435"/>
        <v>1+23,3903835523044i</v>
      </c>
      <c r="AX469">
        <f t="shared" si="460"/>
        <v>23.4117500995528</v>
      </c>
      <c r="AY469">
        <f t="shared" si="461"/>
        <v>1.52806973348782</v>
      </c>
      <c r="AZ469" t="str">
        <f t="shared" si="436"/>
        <v>1+1118,25940089421i</v>
      </c>
      <c r="BA469">
        <f t="shared" si="462"/>
        <v>1118.25984801757</v>
      </c>
      <c r="BB469">
        <f t="shared" si="463"/>
        <v>1.56990208013563</v>
      </c>
      <c r="BC469" s="30" t="str">
        <f t="shared" si="464"/>
        <v>-0,000440289086437549+0,0105189468072005i</v>
      </c>
      <c r="BD469" s="32">
        <f t="shared" si="465"/>
        <v>-39.5529526878204</v>
      </c>
      <c r="BE469" s="31">
        <f t="shared" si="466"/>
        <v>92.3968169100477</v>
      </c>
      <c r="BF469" s="30" t="str">
        <f t="shared" si="467"/>
        <v>0,00129495083376755-0,0283989769871572i</v>
      </c>
      <c r="BG469" s="68">
        <f t="shared" si="468"/>
        <v>-30.9249255060344</v>
      </c>
      <c r="BH469" s="31">
        <f t="shared" si="469"/>
        <v>-87.3892067052419</v>
      </c>
      <c r="BI469" s="30" t="str">
        <f t="shared" si="423"/>
        <v>0,336570726155958+0,0678353790197668i</v>
      </c>
      <c r="BJ469" s="68">
        <f t="shared" si="470"/>
        <v>-9.28554374721548</v>
      </c>
      <c r="BK469" s="31">
        <f t="shared" si="424"/>
        <v>11.3952259613188</v>
      </c>
      <c r="BL469" s="32">
        <f t="shared" si="471"/>
        <v>-30.9249255060344</v>
      </c>
      <c r="BM469" s="31">
        <f t="shared" si="472"/>
        <v>-87.3892067052419</v>
      </c>
      <c r="BO469">
        <f t="shared" si="473"/>
        <v>0</v>
      </c>
      <c r="BP469">
        <f t="shared" si="474"/>
        <v>0</v>
      </c>
    </row>
    <row r="470" spans="14:68">
      <c r="N470" s="7">
        <v>52</v>
      </c>
      <c r="O470" s="18">
        <f t="shared" si="422"/>
        <v>331131.121482591</v>
      </c>
      <c r="P470" s="86" t="str">
        <f t="shared" si="425"/>
        <v>60</v>
      </c>
      <c r="Q470" s="4" t="str">
        <f t="shared" si="426"/>
        <v>1+2718,59604440576i</v>
      </c>
      <c r="R470" s="4">
        <f t="shared" si="437"/>
        <v>2718.59622832421</v>
      </c>
      <c r="S470" s="4">
        <f t="shared" si="438"/>
        <v>1.5704284898899</v>
      </c>
      <c r="T470" s="4" t="str">
        <f t="shared" si="427"/>
        <v>1+32,6231525328692i</v>
      </c>
      <c r="U470" s="4">
        <f t="shared" si="439"/>
        <v>32.6384754727124</v>
      </c>
      <c r="V470" s="4">
        <f t="shared" si="440"/>
        <v>1.54015284524472</v>
      </c>
      <c r="W470" t="str">
        <f t="shared" si="428"/>
        <v>1-45,5122105648287i</v>
      </c>
      <c r="X470" s="4">
        <f t="shared" si="441"/>
        <v>45.5231953019261</v>
      </c>
      <c r="Y470" s="4">
        <f t="shared" si="442"/>
        <v>-1.54882773618099</v>
      </c>
      <c r="Z470" t="str">
        <f t="shared" si="429"/>
        <v>0,104915758250461+12,1436662125164i</v>
      </c>
      <c r="AA470" s="4">
        <f t="shared" si="443"/>
        <v>12.1441194162995</v>
      </c>
      <c r="AB470" s="4">
        <f t="shared" si="444"/>
        <v>1.5621569961211</v>
      </c>
      <c r="AC470" s="67" t="str">
        <f t="shared" si="445"/>
        <v>-2,70024449902248-0,000897228209125517i</v>
      </c>
      <c r="AD470" s="68">
        <f t="shared" si="446"/>
        <v>8.62806227948053</v>
      </c>
      <c r="AE470" s="31">
        <f t="shared" si="447"/>
        <v>-179.980961950753</v>
      </c>
      <c r="AF470" s="32" t="str">
        <f t="shared" si="448"/>
        <v>326,048966736478</v>
      </c>
      <c r="AG470" s="32" t="str">
        <f t="shared" si="430"/>
        <v>1+1747,66888568942i</v>
      </c>
      <c r="AH470" s="32">
        <f t="shared" si="449"/>
        <v>1747.66917178478</v>
      </c>
      <c r="AI470" s="32">
        <f t="shared" si="450"/>
        <v>1.57022413609044</v>
      </c>
      <c r="AJ470" s="32" t="str">
        <f t="shared" si="431"/>
        <v>1+32,6231525328692i</v>
      </c>
      <c r="AK470" s="32">
        <f t="shared" si="451"/>
        <v>32.6384754727124</v>
      </c>
      <c r="AL470" s="32">
        <f t="shared" si="452"/>
        <v>1.54015284524472</v>
      </c>
      <c r="AM470" s="32" t="str">
        <f t="shared" si="432"/>
        <v>1-5,38395583548438i</v>
      </c>
      <c r="AN470" s="32">
        <f t="shared" si="453"/>
        <v>5.47603692814852</v>
      </c>
      <c r="AO470" s="32">
        <f t="shared" si="454"/>
        <v>-1.38715200871352</v>
      </c>
      <c r="AP470" s="30" t="str">
        <f t="shared" si="455"/>
        <v>5,10065936497373-32,9517307509363i</v>
      </c>
      <c r="AQ470" s="32">
        <f t="shared" si="456"/>
        <v>30.4603967156115</v>
      </c>
      <c r="AR470" s="31">
        <f t="shared" si="457"/>
        <v>-81.2009136923489</v>
      </c>
      <c r="AS470" t="str">
        <f t="shared" si="433"/>
        <v>-0,000100699300699301</v>
      </c>
      <c r="AT470" t="str">
        <f t="shared" si="434"/>
        <v>0,467501426921921i</v>
      </c>
      <c r="AU470">
        <f t="shared" si="458"/>
        <v>0.467501426921921</v>
      </c>
      <c r="AV470">
        <f t="shared" si="459"/>
        <v>1.5707963267949</v>
      </c>
      <c r="AW470" t="str">
        <f t="shared" si="435"/>
        <v>1+23,9352155758321i</v>
      </c>
      <c r="AX470">
        <f t="shared" si="460"/>
        <v>23.9560961899379</v>
      </c>
      <c r="AY470">
        <f t="shared" si="461"/>
        <v>1.52904116629526</v>
      </c>
      <c r="AZ470" t="str">
        <f t="shared" si="436"/>
        <v>1+1144,30700848712i</v>
      </c>
      <c r="BA470">
        <f t="shared" si="462"/>
        <v>1144.30744543271</v>
      </c>
      <c r="BB470">
        <f t="shared" si="463"/>
        <v>1.56992243566426</v>
      </c>
      <c r="BC470" s="30" t="str">
        <f t="shared" si="464"/>
        <v>-0,000420507342721779+0,0102803328155054i</v>
      </c>
      <c r="BD470" s="32">
        <f t="shared" si="465"/>
        <v>-39.7525962136611</v>
      </c>
      <c r="BE470" s="31">
        <f t="shared" si="466"/>
        <v>92.3423241959813</v>
      </c>
      <c r="BF470" s="30" t="str">
        <f t="shared" si="467"/>
        <v>0,00114469644358431-0,0277590348421387i</v>
      </c>
      <c r="BG470" s="68">
        <f t="shared" si="468"/>
        <v>-31.1245339341806</v>
      </c>
      <c r="BH470" s="31">
        <f t="shared" si="469"/>
        <v>-87.6386377547719</v>
      </c>
      <c r="BI470" s="30" t="str">
        <f t="shared" si="423"/>
        <v>0,336609894250855+0,0662929205866141i</v>
      </c>
      <c r="BJ470" s="68">
        <f t="shared" si="470"/>
        <v>-9.29219949804962</v>
      </c>
      <c r="BK470" s="31">
        <f t="shared" si="424"/>
        <v>11.1414105036324</v>
      </c>
      <c r="BL470" s="32">
        <f t="shared" si="471"/>
        <v>-31.1245339341806</v>
      </c>
      <c r="BM470" s="31">
        <f t="shared" si="472"/>
        <v>-87.6386377547719</v>
      </c>
      <c r="BO470">
        <f t="shared" si="473"/>
        <v>0</v>
      </c>
      <c r="BP470">
        <f t="shared" si="474"/>
        <v>0</v>
      </c>
    </row>
    <row r="471" spans="14:68">
      <c r="N471" s="7">
        <v>53</v>
      </c>
      <c r="O471" s="18">
        <f t="shared" si="422"/>
        <v>338844.156139203</v>
      </c>
      <c r="P471" s="86" t="str">
        <f t="shared" si="425"/>
        <v>60</v>
      </c>
      <c r="Q471" s="4" t="str">
        <f t="shared" si="426"/>
        <v>1+2781,92028108261i</v>
      </c>
      <c r="R471" s="4">
        <f t="shared" si="437"/>
        <v>2781.92046081457</v>
      </c>
      <c r="S471" s="4">
        <f t="shared" si="438"/>
        <v>1.57043686287937</v>
      </c>
      <c r="T471" s="4" t="str">
        <f t="shared" si="427"/>
        <v>1+33,3830433729914i</v>
      </c>
      <c r="U471" s="4">
        <f t="shared" si="439"/>
        <v>33.3980176783447</v>
      </c>
      <c r="V471" s="4">
        <f t="shared" si="440"/>
        <v>1.54084995424439</v>
      </c>
      <c r="W471" t="str">
        <f t="shared" si="428"/>
        <v>1-46,5723261341955i</v>
      </c>
      <c r="X471" s="4">
        <f t="shared" si="441"/>
        <v>46.583060886441</v>
      </c>
      <c r="Y471" s="4">
        <f t="shared" si="442"/>
        <v>-1.54932764692566</v>
      </c>
      <c r="Z471" t="str">
        <f t="shared" si="429"/>
        <v>0,062731737553554+12,4265285358647i</v>
      </c>
      <c r="AA471" s="4">
        <f t="shared" si="443"/>
        <v>12.4266868763784</v>
      </c>
      <c r="AB471" s="4">
        <f t="shared" si="444"/>
        <v>1.56574815871751</v>
      </c>
      <c r="AC471" s="67" t="str">
        <f t="shared" si="445"/>
        <v>-2,7002119305297+0,00828984054283673i</v>
      </c>
      <c r="AD471" s="68">
        <f t="shared" si="446"/>
        <v>8.6279979696277</v>
      </c>
      <c r="AE471" s="31">
        <f t="shared" si="447"/>
        <v>179.824098479708</v>
      </c>
      <c r="AF471" s="32" t="str">
        <f t="shared" si="448"/>
        <v>326,048966736478</v>
      </c>
      <c r="AG471" s="32" t="str">
        <f t="shared" si="430"/>
        <v>1+1788,37732355311i</v>
      </c>
      <c r="AH471" s="32">
        <f t="shared" si="449"/>
        <v>1788.37760313615</v>
      </c>
      <c r="AI471" s="32">
        <f t="shared" si="450"/>
        <v>1.57023716073827</v>
      </c>
      <c r="AJ471" s="32" t="str">
        <f t="shared" si="431"/>
        <v>1+33,3830433729914i</v>
      </c>
      <c r="AK471" s="32">
        <f t="shared" si="451"/>
        <v>33.3980176783447</v>
      </c>
      <c r="AL471" s="32">
        <f t="shared" si="452"/>
        <v>1.54084995424439</v>
      </c>
      <c r="AM471" s="32" t="str">
        <f t="shared" si="432"/>
        <v>1-5,50936427720027i</v>
      </c>
      <c r="AN471" s="32">
        <f t="shared" si="453"/>
        <v>5.59938342488621</v>
      </c>
      <c r="AO471" s="32">
        <f t="shared" si="454"/>
        <v>-1.39124199080819</v>
      </c>
      <c r="AP471" s="30" t="str">
        <f t="shared" si="455"/>
        <v>5,1006546356319-33,7108173132758i</v>
      </c>
      <c r="AQ471" s="32">
        <f t="shared" si="456"/>
        <v>30.6536900713838</v>
      </c>
      <c r="AR471" s="31">
        <f t="shared" si="457"/>
        <v>-81.3960572584663</v>
      </c>
      <c r="AS471" t="str">
        <f t="shared" si="433"/>
        <v>-0,000100699300699301</v>
      </c>
      <c r="AT471" t="str">
        <f t="shared" si="434"/>
        <v>0,478390934050456i</v>
      </c>
      <c r="AU471">
        <f t="shared" si="458"/>
        <v>0.478390934050456</v>
      </c>
      <c r="AV471">
        <f t="shared" si="459"/>
        <v>1.5707963267949</v>
      </c>
      <c r="AW471" t="str">
        <f t="shared" si="435"/>
        <v>1+24,4927383674783i</v>
      </c>
      <c r="AX471">
        <f t="shared" si="460"/>
        <v>24.5131440810383</v>
      </c>
      <c r="AY471">
        <f t="shared" si="461"/>
        <v>1.52999056279293</v>
      </c>
      <c r="AZ471" t="str">
        <f t="shared" si="436"/>
        <v>1+1170,96134280263i</v>
      </c>
      <c r="BA471">
        <f t="shared" si="462"/>
        <v>1170.96176980213</v>
      </c>
      <c r="BB471">
        <f t="shared" si="463"/>
        <v>1.56994232784519</v>
      </c>
      <c r="BC471" s="30" t="str">
        <f t="shared" si="464"/>
        <v>-0,000401612890971915+0,0100470953018843i</v>
      </c>
      <c r="BD471" s="32">
        <f t="shared" si="465"/>
        <v>-39.9522557561418</v>
      </c>
      <c r="BE471" s="31">
        <f t="shared" si="466"/>
        <v>92.2890675215928</v>
      </c>
      <c r="BF471" s="30" t="str">
        <f t="shared" si="467"/>
        <v>0,00100115110168558-0,027132615908143i</v>
      </c>
      <c r="BG471" s="68">
        <f t="shared" si="468"/>
        <v>-31.3242577865141</v>
      </c>
      <c r="BH471" s="31">
        <f t="shared" si="469"/>
        <v>-87.8868339986991</v>
      </c>
      <c r="BI471" s="30" t="str">
        <f t="shared" si="423"/>
        <v>0,336647305596828+0,0647854620244024i</v>
      </c>
      <c r="BJ471" s="68">
        <f t="shared" si="470"/>
        <v>-9.29856568475796</v>
      </c>
      <c r="BK471" s="31">
        <f t="shared" si="424"/>
        <v>10.8930102631265</v>
      </c>
      <c r="BL471" s="32">
        <f t="shared" si="471"/>
        <v>-31.3242577865141</v>
      </c>
      <c r="BM471" s="31">
        <f t="shared" si="472"/>
        <v>-87.8868339986991</v>
      </c>
      <c r="BO471">
        <f t="shared" si="473"/>
        <v>0</v>
      </c>
      <c r="BP471">
        <f t="shared" si="474"/>
        <v>0</v>
      </c>
    </row>
    <row r="472" spans="14:68">
      <c r="N472" s="7">
        <v>54</v>
      </c>
      <c r="O472" s="18">
        <f t="shared" si="422"/>
        <v>346736.850452532</v>
      </c>
      <c r="P472" s="86" t="str">
        <f t="shared" si="425"/>
        <v>60</v>
      </c>
      <c r="Q472" s="4" t="str">
        <f t="shared" si="426"/>
        <v>1+2846,71952871553i</v>
      </c>
      <c r="R472" s="4">
        <f t="shared" si="437"/>
        <v>2846.71970435629</v>
      </c>
      <c r="S472" s="4">
        <f t="shared" si="438"/>
        <v>1.57044504527637</v>
      </c>
      <c r="T472" s="4" t="str">
        <f t="shared" si="427"/>
        <v>1+34,1606343445864i</v>
      </c>
      <c r="U472" s="4">
        <f t="shared" si="439"/>
        <v>34.1752679407863</v>
      </c>
      <c r="V472" s="4">
        <f t="shared" si="440"/>
        <v>1.54153122323977</v>
      </c>
      <c r="W472" t="str">
        <f t="shared" si="428"/>
        <v>1-47,6571349673359i</v>
      </c>
      <c r="X472" s="4">
        <f t="shared" si="441"/>
        <v>47.6676254211899</v>
      </c>
      <c r="Y472" s="4">
        <f t="shared" si="442"/>
        <v>-1.54981618868306</v>
      </c>
      <c r="Z472" t="str">
        <f t="shared" si="429"/>
        <v>0,018559645210272+12,7159795691271i</v>
      </c>
      <c r="AA472" s="4">
        <f t="shared" si="443"/>
        <v>12.7159931135121</v>
      </c>
      <c r="AB472" s="4">
        <f t="shared" si="444"/>
        <v>1.5693367749035</v>
      </c>
      <c r="AC472" s="67" t="str">
        <f t="shared" si="445"/>
        <v>-2,70011712555521+0,017481159014425i</v>
      </c>
      <c r="AD472" s="68">
        <f t="shared" si="446"/>
        <v>8.62783410060436</v>
      </c>
      <c r="AE472" s="31">
        <f t="shared" si="447"/>
        <v>179.629059558478</v>
      </c>
      <c r="AF472" s="32" t="str">
        <f t="shared" si="448"/>
        <v>326,048966736478</v>
      </c>
      <c r="AG472" s="32" t="str">
        <f t="shared" si="430"/>
        <v>1+1830,0339827457i</v>
      </c>
      <c r="AH472" s="32">
        <f t="shared" si="449"/>
        <v>1830.03425596465</v>
      </c>
      <c r="AI472" s="32">
        <f t="shared" si="450"/>
        <v>1.5702498889091</v>
      </c>
      <c r="AJ472" s="32" t="str">
        <f t="shared" si="431"/>
        <v>1+34,1606343445864i</v>
      </c>
      <c r="AK472" s="32">
        <f t="shared" si="451"/>
        <v>34.1752679407863</v>
      </c>
      <c r="AL472" s="32">
        <f t="shared" si="452"/>
        <v>1.54153122323977</v>
      </c>
      <c r="AM472" s="32" t="str">
        <f t="shared" si="432"/>
        <v>1-5,63769385678093i</v>
      </c>
      <c r="AN472" s="32">
        <f t="shared" si="453"/>
        <v>5.72569576757143</v>
      </c>
      <c r="AO472" s="32">
        <f t="shared" si="454"/>
        <v>-1.39524474992699</v>
      </c>
      <c r="AP472" s="30" t="str">
        <f t="shared" si="455"/>
        <v>5,10065011914539-34,4877777969318i</v>
      </c>
      <c r="AQ472" s="32">
        <f t="shared" si="456"/>
        <v>30.8472761087978</v>
      </c>
      <c r="AR472" s="31">
        <f t="shared" si="457"/>
        <v>-81.5870938947024</v>
      </c>
      <c r="AS472" t="str">
        <f t="shared" si="433"/>
        <v>-0,000100699300699301</v>
      </c>
      <c r="AT472" t="str">
        <f t="shared" si="434"/>
        <v>0,489534090384476i</v>
      </c>
      <c r="AU472">
        <f t="shared" si="458"/>
        <v>0.489534090384476</v>
      </c>
      <c r="AV472">
        <f t="shared" si="459"/>
        <v>1.5707963267949</v>
      </c>
      <c r="AW472" t="str">
        <f t="shared" si="435"/>
        <v>1+25,0632475332064i</v>
      </c>
      <c r="AX472">
        <f t="shared" si="460"/>
        <v>25.0831891295899</v>
      </c>
      <c r="AY472">
        <f t="shared" si="461"/>
        <v>1.53091841951359</v>
      </c>
      <c r="AZ472" t="str">
        <f t="shared" si="436"/>
        <v>1+1198,23653632159i</v>
      </c>
      <c r="BA472">
        <f t="shared" si="462"/>
        <v>1198.2369536014</v>
      </c>
      <c r="BB472">
        <f t="shared" si="463"/>
        <v>1.56996176722546</v>
      </c>
      <c r="BC472" s="30" t="str">
        <f t="shared" si="464"/>
        <v>-0,000383566062705187+0,00981911554296308i</v>
      </c>
      <c r="BD472" s="32">
        <f t="shared" si="465"/>
        <v>-40.1519305967964</v>
      </c>
      <c r="BE472" s="31">
        <f t="shared" si="466"/>
        <v>92.2370190419518</v>
      </c>
      <c r="BF472" s="30" t="str">
        <f t="shared" si="467"/>
        <v>0,000864023774504509-0,0265194672146946i</v>
      </c>
      <c r="BG472" s="68">
        <f t="shared" si="468"/>
        <v>-31.524096496192</v>
      </c>
      <c r="BH472" s="31">
        <f t="shared" si="469"/>
        <v>-88.1339213995705</v>
      </c>
      <c r="BI472" s="30" t="str">
        <f t="shared" si="423"/>
        <v>0,336683038724673+0,0633122140051375i</v>
      </c>
      <c r="BJ472" s="68">
        <f t="shared" si="470"/>
        <v>-9.3046544879986</v>
      </c>
      <c r="BK472" s="31">
        <f t="shared" si="424"/>
        <v>10.6499251472494</v>
      </c>
      <c r="BL472" s="32">
        <f t="shared" si="471"/>
        <v>-31.524096496192</v>
      </c>
      <c r="BM472" s="31">
        <f t="shared" si="472"/>
        <v>-88.1339213995705</v>
      </c>
      <c r="BO472">
        <f t="shared" si="473"/>
        <v>0</v>
      </c>
      <c r="BP472">
        <f t="shared" si="474"/>
        <v>0</v>
      </c>
    </row>
    <row r="473" spans="14:68">
      <c r="N473" s="7">
        <v>55</v>
      </c>
      <c r="O473" s="18">
        <f t="shared" si="422"/>
        <v>354813.389233576</v>
      </c>
      <c r="P473" s="86" t="str">
        <f t="shared" si="425"/>
        <v>60</v>
      </c>
      <c r="Q473" s="4" t="str">
        <f t="shared" si="426"/>
        <v>1+2913,02814472339i</v>
      </c>
      <c r="R473" s="4">
        <f t="shared" si="437"/>
        <v>2913.02831636608</v>
      </c>
      <c r="S473" s="4">
        <f t="shared" si="438"/>
        <v>1.57045304141932</v>
      </c>
      <c r="T473" s="4" t="str">
        <f t="shared" si="427"/>
        <v>1+34,9563377366807i</v>
      </c>
      <c r="U473" s="4">
        <f t="shared" si="439"/>
        <v>34.9706383693648</v>
      </c>
      <c r="V473" s="4">
        <f t="shared" si="440"/>
        <v>1.54219701091766</v>
      </c>
      <c r="W473" t="str">
        <f t="shared" si="428"/>
        <v>1-48,7672122442531i</v>
      </c>
      <c r="X473" s="4">
        <f t="shared" si="441"/>
        <v>48.7774639569959</v>
      </c>
      <c r="Y473" s="4">
        <f t="shared" si="442"/>
        <v>-1.55029361955113</v>
      </c>
      <c r="Z473" t="str">
        <f t="shared" si="429"/>
        <v>-0,0276942137095399+13,012172783073i</v>
      </c>
      <c r="AA473" s="4">
        <f t="shared" si="443"/>
        <v>13.0122022542696</v>
      </c>
      <c r="AB473" s="4">
        <f t="shared" si="444"/>
        <v>1.57292465481167</v>
      </c>
      <c r="AC473" s="67" t="str">
        <f t="shared" si="445"/>
        <v>-2,69995988599972+0,0266809304926028i</v>
      </c>
      <c r="AD473" s="68">
        <f t="shared" si="446"/>
        <v>8.6275703182093</v>
      </c>
      <c r="AE473" s="31">
        <f t="shared" si="447"/>
        <v>179.433823087341</v>
      </c>
      <c r="AF473" s="32" t="str">
        <f t="shared" si="448"/>
        <v>326,048966736478</v>
      </c>
      <c r="AG473" s="32" t="str">
        <f t="shared" si="430"/>
        <v>1+1872,66095017932i</v>
      </c>
      <c r="AH473" s="32">
        <f t="shared" si="449"/>
        <v>1872.66121717905</v>
      </c>
      <c r="AI473" s="32">
        <f t="shared" si="450"/>
        <v>1.57026232735156</v>
      </c>
      <c r="AJ473" s="32" t="str">
        <f t="shared" si="431"/>
        <v>1+34,9563377366807i</v>
      </c>
      <c r="AK473" s="32">
        <f t="shared" si="451"/>
        <v>34.9706383693648</v>
      </c>
      <c r="AL473" s="32">
        <f t="shared" si="452"/>
        <v>1.54219701091766</v>
      </c>
      <c r="AM473" s="32" t="str">
        <f t="shared" si="432"/>
        <v>1-5,76901261626821i</v>
      </c>
      <c r="AN473" s="32">
        <f t="shared" si="453"/>
        <v>5.85504112425026</v>
      </c>
      <c r="AO473" s="32">
        <f t="shared" si="454"/>
        <v>-1.39916189507191</v>
      </c>
      <c r="AP473" s="30" t="str">
        <f t="shared" si="455"/>
        <v>5,10064580593414-35,2830241566536i</v>
      </c>
      <c r="AQ473" s="32">
        <f t="shared" si="456"/>
        <v>31.0411424375607</v>
      </c>
      <c r="AR473" s="31">
        <f t="shared" si="457"/>
        <v>-81.7740956255086</v>
      </c>
      <c r="AS473" t="str">
        <f t="shared" si="433"/>
        <v>-0,000100699300699301</v>
      </c>
      <c r="AT473" t="str">
        <f t="shared" si="434"/>
        <v>0,500936804172967i</v>
      </c>
      <c r="AU473">
        <f t="shared" si="458"/>
        <v>0.500936804172967</v>
      </c>
      <c r="AV473">
        <f t="shared" si="459"/>
        <v>1.5707963267949</v>
      </c>
      <c r="AW473" t="str">
        <f t="shared" si="435"/>
        <v>1+25,6470455645281i</v>
      </c>
      <c r="AX473">
        <f t="shared" si="460"/>
        <v>25.666533583423</v>
      </c>
      <c r="AY473">
        <f t="shared" si="461"/>
        <v>1.53182522202503</v>
      </c>
      <c r="AZ473" t="str">
        <f t="shared" si="436"/>
        <v>1+1226,14705071265i</v>
      </c>
      <c r="BA473">
        <f t="shared" si="462"/>
        <v>1226.14745849401</v>
      </c>
      <c r="BB473">
        <f t="shared" si="463"/>
        <v>1.56998076411202</v>
      </c>
      <c r="BC473" s="30" t="str">
        <f t="shared" si="464"/>
        <v>-0,000366328951472804+0,00959627727499614i</v>
      </c>
      <c r="BD473" s="32">
        <f t="shared" si="465"/>
        <v>-40.3516200492847</v>
      </c>
      <c r="BE473" s="31">
        <f t="shared" si="466"/>
        <v>92.1861515266178</v>
      </c>
      <c r="BF473" s="30" t="str">
        <f t="shared" si="467"/>
        <v>0,000733035867094993-0,025919337694712i</v>
      </c>
      <c r="BG473" s="68">
        <f t="shared" si="468"/>
        <v>-31.7240497310753</v>
      </c>
      <c r="BH473" s="31">
        <f t="shared" si="469"/>
        <v>-88.3800253860411</v>
      </c>
      <c r="BI473" s="30" t="str">
        <f t="shared" si="423"/>
        <v>0,336717168677713+0,0618724046793867i</v>
      </c>
      <c r="BJ473" s="68">
        <f t="shared" si="470"/>
        <v>-9.31047761172391</v>
      </c>
      <c r="BK473" s="31">
        <f t="shared" si="424"/>
        <v>10.4120559011091</v>
      </c>
      <c r="BL473" s="32">
        <f t="shared" si="471"/>
        <v>-31.7240497310753</v>
      </c>
      <c r="BM473" s="31">
        <f t="shared" si="472"/>
        <v>-88.3800253860411</v>
      </c>
      <c r="BO473">
        <f t="shared" si="473"/>
        <v>0</v>
      </c>
      <c r="BP473">
        <f t="shared" si="474"/>
        <v>0</v>
      </c>
    </row>
    <row r="474" spans="14:68">
      <c r="N474" s="7">
        <v>56</v>
      </c>
      <c r="O474" s="18">
        <f t="shared" si="422"/>
        <v>363078.054770102</v>
      </c>
      <c r="P474" s="86" t="str">
        <f t="shared" si="425"/>
        <v>60</v>
      </c>
      <c r="Q474" s="4" t="str">
        <f t="shared" si="426"/>
        <v>1+2980,88128681204i</v>
      </c>
      <c r="R474" s="4">
        <f t="shared" si="437"/>
        <v>2980.88145454766</v>
      </c>
      <c r="S474" s="4">
        <f t="shared" si="438"/>
        <v>1.57046085554788</v>
      </c>
      <c r="T474" s="4" t="str">
        <f t="shared" si="427"/>
        <v>1+35,7705754417445i</v>
      </c>
      <c r="U474" s="4">
        <f t="shared" si="439"/>
        <v>35.7845506808949</v>
      </c>
      <c r="V474" s="4">
        <f t="shared" si="440"/>
        <v>1.54284766792516</v>
      </c>
      <c r="W474" t="str">
        <f t="shared" si="428"/>
        <v>1-49,9031465426124i</v>
      </c>
      <c r="X474" s="4">
        <f t="shared" si="441"/>
        <v>49.9131649452672</v>
      </c>
      <c r="Y474" s="4">
        <f t="shared" si="442"/>
        <v>-1.55076019179896</v>
      </c>
      <c r="Z474" t="str">
        <f t="shared" si="429"/>
        <v>-0,07612794984198+13,315265223265i</v>
      </c>
      <c r="AA474" s="4">
        <f t="shared" si="443"/>
        <v>13.3154828463198</v>
      </c>
      <c r="AB474" s="4">
        <f t="shared" si="444"/>
        <v>1.57651360835791</v>
      </c>
      <c r="AC474" s="67" t="str">
        <f t="shared" si="445"/>
        <v>-2,69973989097172+0,0358933589503259i</v>
      </c>
      <c r="AD474" s="68">
        <f t="shared" si="446"/>
        <v>8.62720606485746</v>
      </c>
      <c r="AE474" s="31">
        <f t="shared" si="447"/>
        <v>179.238290759488</v>
      </c>
      <c r="AF474" s="32" t="str">
        <f t="shared" si="448"/>
        <v>326,048966736478</v>
      </c>
      <c r="AG474" s="32" t="str">
        <f t="shared" si="430"/>
        <v>1+1916,28082723631i</v>
      </c>
      <c r="AH474" s="32">
        <f t="shared" si="449"/>
        <v>1916.28108815838</v>
      </c>
      <c r="AI474" s="32">
        <f t="shared" si="450"/>
        <v>1.57027448266067</v>
      </c>
      <c r="AJ474" s="32" t="str">
        <f t="shared" si="431"/>
        <v>1+35,7705754417445i</v>
      </c>
      <c r="AK474" s="32">
        <f t="shared" si="451"/>
        <v>35.7845506808949</v>
      </c>
      <c r="AL474" s="32">
        <f t="shared" si="452"/>
        <v>1.54284766792516</v>
      </c>
      <c r="AM474" s="32" t="str">
        <f t="shared" si="432"/>
        <v>1-5,90339018260651i</v>
      </c>
      <c r="AN474" s="32">
        <f t="shared" si="453"/>
        <v>5.98748825870205</v>
      </c>
      <c r="AO474" s="32">
        <f t="shared" si="454"/>
        <v>-1.40299502208764</v>
      </c>
      <c r="AP474" s="30" t="str">
        <f t="shared" si="455"/>
        <v>5,10064168684926-36,0969780426016i</v>
      </c>
      <c r="AQ474" s="32">
        <f t="shared" si="456"/>
        <v>31.2352771591937</v>
      </c>
      <c r="AR474" s="31">
        <f t="shared" si="457"/>
        <v>-81.9571341733175</v>
      </c>
      <c r="AS474" t="str">
        <f t="shared" si="433"/>
        <v>-0,000100699300699301</v>
      </c>
      <c r="AT474" t="str">
        <f t="shared" si="434"/>
        <v>0,512605121285714i</v>
      </c>
      <c r="AU474">
        <f t="shared" si="458"/>
        <v>0.512605121285714</v>
      </c>
      <c r="AV474">
        <f t="shared" si="459"/>
        <v>1.5707963267949</v>
      </c>
      <c r="AW474" t="str">
        <f t="shared" si="435"/>
        <v>1+26,2444419988867i</v>
      </c>
      <c r="AX474">
        <f t="shared" si="460"/>
        <v>26.2634867417281</v>
      </c>
      <c r="AY474">
        <f t="shared" si="461"/>
        <v>1.53271144515731</v>
      </c>
      <c r="AZ474" t="str">
        <f t="shared" si="436"/>
        <v>1+1254,70768449997i</v>
      </c>
      <c r="BA474">
        <f t="shared" si="462"/>
        <v>1254.7080829991</v>
      </c>
      <c r="BB474">
        <f t="shared" si="463"/>
        <v>1.56999932857721</v>
      </c>
      <c r="BC474" s="30" t="str">
        <f t="shared" si="464"/>
        <v>-0,000349865335598421+0,00937846665392953i</v>
      </c>
      <c r="BD474" s="32">
        <f t="shared" si="465"/>
        <v>-40.5513234579643</v>
      </c>
      <c r="BE474" s="31">
        <f t="shared" si="466"/>
        <v>92.1364383469359</v>
      </c>
      <c r="BF474" s="30" t="str">
        <f t="shared" si="467"/>
        <v>0,000607920732970111-0,0253319783838365i</v>
      </c>
      <c r="BG474" s="68">
        <f t="shared" si="468"/>
        <v>-31.9241173931068</v>
      </c>
      <c r="BH474" s="31">
        <f t="shared" si="469"/>
        <v>-88.625270893576</v>
      </c>
      <c r="BI474" s="30" t="str">
        <f t="shared" si="423"/>
        <v>0,336749767164629+0,0604652793107223i</v>
      </c>
      <c r="BJ474" s="68">
        <f t="shared" si="470"/>
        <v>-9.31604629877059</v>
      </c>
      <c r="BK474" s="31">
        <f t="shared" si="424"/>
        <v>10.1793041736183</v>
      </c>
      <c r="BL474" s="32">
        <f t="shared" si="471"/>
        <v>-31.9241173931068</v>
      </c>
      <c r="BM474" s="31">
        <f t="shared" si="472"/>
        <v>-88.625270893576</v>
      </c>
      <c r="BO474">
        <f t="shared" si="473"/>
        <v>0</v>
      </c>
      <c r="BP474">
        <f t="shared" si="474"/>
        <v>0</v>
      </c>
    </row>
    <row r="475" spans="14:68">
      <c r="N475" s="7">
        <v>57</v>
      </c>
      <c r="O475" s="18">
        <f t="shared" si="422"/>
        <v>371535.229097173</v>
      </c>
      <c r="P475" s="86" t="str">
        <f t="shared" si="425"/>
        <v>60</v>
      </c>
      <c r="Q475" s="4" t="str">
        <f t="shared" si="426"/>
        <v>1+3050,3149316156i</v>
      </c>
      <c r="R475" s="4">
        <f t="shared" si="437"/>
        <v>3050.3150955331</v>
      </c>
      <c r="S475" s="4">
        <f t="shared" si="438"/>
        <v>1.5704684918052</v>
      </c>
      <c r="T475" s="4" t="str">
        <f t="shared" si="427"/>
        <v>1+36,6037791793872i</v>
      </c>
      <c r="U475" s="4">
        <f t="shared" si="439"/>
        <v>36.6174364232853</v>
      </c>
      <c r="V475" s="4">
        <f t="shared" si="440"/>
        <v>1.54348353704428</v>
      </c>
      <c r="W475" t="str">
        <f t="shared" si="428"/>
        <v>1-51,0655401498148i</v>
      </c>
      <c r="X475" s="4">
        <f t="shared" si="441"/>
        <v>51.0753305500057</v>
      </c>
      <c r="Y475" s="4">
        <f t="shared" si="442"/>
        <v>-1.55121615199629</v>
      </c>
      <c r="Z475" t="str">
        <f t="shared" si="429"/>
        <v>-0,12684429763502+13,6254175933267i</v>
      </c>
      <c r="AA475" s="4">
        <f t="shared" si="443"/>
        <v>13.6260080019197</v>
      </c>
      <c r="AB475" s="4">
        <f t="shared" si="444"/>
        <v>1.58010544577411</v>
      </c>
      <c r="AC475" s="67" t="str">
        <f t="shared" si="445"/>
        <v>-2,69945669621077+0,0451226482327916i</v>
      </c>
      <c r="AD475" s="68">
        <f t="shared" si="446"/>
        <v>8.62674057841353</v>
      </c>
      <c r="AE475" s="31">
        <f t="shared" si="447"/>
        <v>179.042364131442</v>
      </c>
      <c r="AF475" s="32" t="str">
        <f t="shared" si="448"/>
        <v>326,048966736478</v>
      </c>
      <c r="AG475" s="32" t="str">
        <f t="shared" si="430"/>
        <v>1+1960,91674175289i</v>
      </c>
      <c r="AH475" s="32">
        <f t="shared" si="449"/>
        <v>1960.91699673565</v>
      </c>
      <c r="AI475" s="32">
        <f t="shared" si="450"/>
        <v>1.57028636128131</v>
      </c>
      <c r="AJ475" s="32" t="str">
        <f t="shared" si="431"/>
        <v>1+36,6037791793872i</v>
      </c>
      <c r="AK475" s="32">
        <f t="shared" si="451"/>
        <v>36.6174364232853</v>
      </c>
      <c r="AL475" s="32">
        <f t="shared" si="452"/>
        <v>1.54348353704428</v>
      </c>
      <c r="AM475" s="32" t="str">
        <f t="shared" si="432"/>
        <v>1-6,04089780456024i</v>
      </c>
      <c r="AN475" s="32">
        <f t="shared" si="453"/>
        <v>6.12310756766045</v>
      </c>
      <c r="AO475" s="32">
        <f t="shared" si="454"/>
        <v>-1.40674571256625</v>
      </c>
      <c r="AP475" s="30" t="str">
        <f t="shared" si="455"/>
        <v>5,10063775315363-36,9300710239141i</v>
      </c>
      <c r="AQ475" s="32">
        <f t="shared" si="456"/>
        <v>31.4296688503153</v>
      </c>
      <c r="AR475" s="31">
        <f t="shared" si="457"/>
        <v>-82.1362808859824</v>
      </c>
      <c r="AS475" t="str">
        <f t="shared" si="433"/>
        <v>-0,000100699300699301</v>
      </c>
      <c r="AT475" t="str">
        <f t="shared" si="434"/>
        <v>0,524545228418897i</v>
      </c>
      <c r="AU475">
        <f t="shared" si="458"/>
        <v>0.524545228418897</v>
      </c>
      <c r="AV475">
        <f t="shared" si="459"/>
        <v>1.5707963267949</v>
      </c>
      <c r="AW475" t="str">
        <f t="shared" si="435"/>
        <v>1+26,8557535837795i</v>
      </c>
      <c r="AX475">
        <f t="shared" si="460"/>
        <v>26.8743651190625</v>
      </c>
      <c r="AY475">
        <f t="shared" si="461"/>
        <v>1.53357755322623</v>
      </c>
      <c r="AZ475" t="str">
        <f t="shared" si="436"/>
        <v>1+1283,93358090963i</v>
      </c>
      <c r="BA475">
        <f t="shared" si="462"/>
        <v>1283.93397033782</v>
      </c>
      <c r="BB475">
        <f t="shared" si="463"/>
        <v>1.57001747046412</v>
      </c>
      <c r="BC475" s="30" t="str">
        <f t="shared" si="464"/>
        <v>-0,000334140604215523+0,00916557221531851i</v>
      </c>
      <c r="BD475" s="32">
        <f t="shared" si="465"/>
        <v>-40.7510401965263</v>
      </c>
      <c r="BE475" s="31">
        <f t="shared" si="466"/>
        <v>92.0878534635368</v>
      </c>
      <c r="BF475" s="30" t="str">
        <f t="shared" si="467"/>
        <v>0,000488423200601441-0,0247571426001892i</v>
      </c>
      <c r="BG475" s="68">
        <f t="shared" si="468"/>
        <v>-32.1242996181128</v>
      </c>
      <c r="BH475" s="31">
        <f t="shared" si="469"/>
        <v>-88.8697824050209</v>
      </c>
      <c r="BI475" s="30" t="str">
        <f t="shared" si="423"/>
        <v>0,336780902705803+0,0590900999163624i</v>
      </c>
      <c r="BJ475" s="68">
        <f t="shared" si="470"/>
        <v>-9.32137134621103</v>
      </c>
      <c r="BK475" s="31">
        <f t="shared" si="424"/>
        <v>9.95157257755439</v>
      </c>
      <c r="BL475" s="32">
        <f t="shared" si="471"/>
        <v>-32.1242996181128</v>
      </c>
      <c r="BM475" s="31">
        <f t="shared" si="472"/>
        <v>-88.8697824050209</v>
      </c>
      <c r="BO475">
        <f t="shared" si="473"/>
        <v>0</v>
      </c>
      <c r="BP475">
        <f t="shared" si="474"/>
        <v>0</v>
      </c>
    </row>
    <row r="476" spans="14:68">
      <c r="N476" s="7">
        <v>58</v>
      </c>
      <c r="O476" s="18">
        <f t="shared" si="422"/>
        <v>380189.396320562</v>
      </c>
      <c r="P476" s="86" t="str">
        <f t="shared" si="425"/>
        <v>60</v>
      </c>
      <c r="Q476" s="4" t="str">
        <f t="shared" si="426"/>
        <v>1+3121,36589377159i</v>
      </c>
      <c r="R476" s="4">
        <f t="shared" si="437"/>
        <v>3121.36605395787</v>
      </c>
      <c r="S476" s="4">
        <f t="shared" si="438"/>
        <v>1.57047595424012</v>
      </c>
      <c r="T476" s="4" t="str">
        <f t="shared" si="427"/>
        <v>1+37,4563907252591i</v>
      </c>
      <c r="U476" s="4">
        <f t="shared" si="439"/>
        <v>37.469737204353</v>
      </c>
      <c r="V476" s="4">
        <f t="shared" si="440"/>
        <v>1.54410495336328</v>
      </c>
      <c r="W476" t="str">
        <f t="shared" si="428"/>
        <v>1-52,2550093823369i</v>
      </c>
      <c r="X476" s="4">
        <f t="shared" si="441"/>
        <v>52.2645769670828</v>
      </c>
      <c r="Y476" s="4">
        <f t="shared" si="442"/>
        <v>-1.55166174114049</v>
      </c>
      <c r="Z476" t="str">
        <f t="shared" si="429"/>
        <v>-0,17995083326199+13,9427943401501i</v>
      </c>
      <c r="AA476" s="4">
        <f t="shared" si="443"/>
        <v>13.943955547624</v>
      </c>
      <c r="AB476" s="4">
        <f t="shared" si="444"/>
        <v>1.58370197814</v>
      </c>
      <c r="AC476" s="67" t="str">
        <f t="shared" si="445"/>
        <v>-2,69910973332794+0,0543730012144322i</v>
      </c>
      <c r="AD476" s="68">
        <f t="shared" si="446"/>
        <v>8.62617289066202</v>
      </c>
      <c r="AE476" s="31">
        <f t="shared" si="447"/>
        <v>178.845944595009</v>
      </c>
      <c r="AF476" s="32" t="str">
        <f t="shared" si="448"/>
        <v>326,048966736478</v>
      </c>
      <c r="AG476" s="32" t="str">
        <f t="shared" si="430"/>
        <v>1+2006,59236028174i</v>
      </c>
      <c r="AH476" s="32">
        <f t="shared" si="449"/>
        <v>2006.59260946039</v>
      </c>
      <c r="AI476" s="32">
        <f t="shared" si="450"/>
        <v>1.57029796951167</v>
      </c>
      <c r="AJ476" s="32" t="str">
        <f t="shared" si="431"/>
        <v>1+37,4563907252591i</v>
      </c>
      <c r="AK476" s="32">
        <f t="shared" si="451"/>
        <v>37.469737204353</v>
      </c>
      <c r="AL476" s="32">
        <f t="shared" si="452"/>
        <v>1.54410495336328</v>
      </c>
      <c r="AM476" s="32" t="str">
        <f t="shared" si="432"/>
        <v>1-6,18160839049068i</v>
      </c>
      <c r="AN476" s="32">
        <f t="shared" si="453"/>
        <v>6.26197111885585</v>
      </c>
      <c r="AO476" s="32">
        <f t="shared" si="454"/>
        <v>-1.41041553285263</v>
      </c>
      <c r="AP476" s="30" t="str">
        <f t="shared" si="455"/>
        <v>5,10063399650339-37,7827448175304i</v>
      </c>
      <c r="AQ476" s="32">
        <f t="shared" si="456"/>
        <v>31.624306546247</v>
      </c>
      <c r="AR476" s="31">
        <f t="shared" si="457"/>
        <v>-82.3116066701715</v>
      </c>
      <c r="AS476" t="str">
        <f t="shared" si="433"/>
        <v>-0,000100699300699301</v>
      </c>
      <c r="AT476" t="str">
        <f t="shared" si="434"/>
        <v>0,536763456375365i</v>
      </c>
      <c r="AU476">
        <f t="shared" si="458"/>
        <v>0.536763456375365</v>
      </c>
      <c r="AV476">
        <f t="shared" si="459"/>
        <v>1.5707963267949</v>
      </c>
      <c r="AW476" t="str">
        <f t="shared" si="435"/>
        <v>1+27,4813044447003i</v>
      </c>
      <c r="AX476">
        <f t="shared" si="460"/>
        <v>27.4994926131793</v>
      </c>
      <c r="AY476">
        <f t="shared" si="461"/>
        <v>1.53442400025314</v>
      </c>
      <c r="AZ476" t="str">
        <f t="shared" si="436"/>
        <v>1+1313,84023589876i</v>
      </c>
      <c r="BA476">
        <f t="shared" si="462"/>
        <v>1313.84061646248</v>
      </c>
      <c r="BB476">
        <f t="shared" si="463"/>
        <v>1.57003519939175</v>
      </c>
      <c r="BC476" s="30" t="str">
        <f t="shared" si="464"/>
        <v>-0,000319121686470859+0,00895748483417228i</v>
      </c>
      <c r="BD476" s="32">
        <f t="shared" si="465"/>
        <v>-40.9507696666903</v>
      </c>
      <c r="BE476" s="31">
        <f t="shared" si="466"/>
        <v>92.0403714140424</v>
      </c>
      <c r="BF476" s="30" t="str">
        <f t="shared" si="467"/>
        <v>0,000374299116302815-0,0241945861058978i</v>
      </c>
      <c r="BG476" s="68">
        <f t="shared" si="468"/>
        <v>-32.3245967760283</v>
      </c>
      <c r="BH476" s="31">
        <f t="shared" si="469"/>
        <v>-89.1136839909489</v>
      </c>
      <c r="BI476" s="30" t="str">
        <f t="shared" si="423"/>
        <v>0,336810640773395+0,0577461449140111i</v>
      </c>
      <c r="BJ476" s="68">
        <f t="shared" si="470"/>
        <v>-9.32646312044338</v>
      </c>
      <c r="BK476" s="31">
        <f t="shared" si="424"/>
        <v>9.72876474387095</v>
      </c>
      <c r="BL476" s="32">
        <f t="shared" si="471"/>
        <v>-32.3245967760283</v>
      </c>
      <c r="BM476" s="31">
        <f t="shared" si="472"/>
        <v>-89.1136839909489</v>
      </c>
      <c r="BO476">
        <f t="shared" si="473"/>
        <v>0</v>
      </c>
      <c r="BP476">
        <f t="shared" si="474"/>
        <v>0</v>
      </c>
    </row>
    <row r="477" spans="14:68">
      <c r="N477" s="7">
        <v>59</v>
      </c>
      <c r="O477" s="18">
        <f t="shared" si="422"/>
        <v>389045.144994281</v>
      </c>
      <c r="P477" s="86" t="str">
        <f t="shared" si="425"/>
        <v>60</v>
      </c>
      <c r="Q477" s="4" t="str">
        <f t="shared" si="426"/>
        <v>1+3194,07184544062i</v>
      </c>
      <c r="R477" s="4">
        <f t="shared" si="437"/>
        <v>3194.07200198061</v>
      </c>
      <c r="S477" s="4">
        <f t="shared" si="438"/>
        <v>1.57048324680931</v>
      </c>
      <c r="T477" s="4" t="str">
        <f t="shared" si="427"/>
        <v>1+38,3288621452875i</v>
      </c>
      <c r="U477" s="4">
        <f t="shared" si="439"/>
        <v>38.3419049259743</v>
      </c>
      <c r="V477" s="4">
        <f t="shared" si="440"/>
        <v>1.54471224444449</v>
      </c>
      <c r="W477" t="str">
        <f t="shared" si="428"/>
        <v>1-53,4721849125104i</v>
      </c>
      <c r="X477" s="4">
        <f t="shared" si="441"/>
        <v>53.4815347509559</v>
      </c>
      <c r="Y477" s="4">
        <f t="shared" si="442"/>
        <v>-1.55209719478063</v>
      </c>
      <c r="Z477" t="str">
        <f t="shared" si="429"/>
        <v>-0,23556020280508+14,2675637410874i</v>
      </c>
      <c r="AA477" s="4">
        <f t="shared" si="443"/>
        <v>14.2695081805624</v>
      </c>
      <c r="AB477" s="4">
        <f t="shared" si="444"/>
        <v>1.58730501791246</v>
      </c>
      <c r="AC477" s="67" t="str">
        <f t="shared" si="445"/>
        <v>-2,69869830886334+0,0636486189138399i</v>
      </c>
      <c r="AD477" s="68">
        <f t="shared" si="446"/>
        <v>8.62550182541131</v>
      </c>
      <c r="AE477" s="31">
        <f t="shared" si="447"/>
        <v>178.648933349328</v>
      </c>
      <c r="AF477" s="32" t="str">
        <f t="shared" si="448"/>
        <v>326,048966736478</v>
      </c>
      <c r="AG477" s="32" t="str">
        <f t="shared" si="430"/>
        <v>1+2053,3319006404i</v>
      </c>
      <c r="AH477" s="32">
        <f t="shared" si="449"/>
        <v>2053.33214414705</v>
      </c>
      <c r="AI477" s="32">
        <f t="shared" si="450"/>
        <v>1.57030931350658</v>
      </c>
      <c r="AJ477" s="32" t="str">
        <f t="shared" si="431"/>
        <v>1+38,3288621452875i</v>
      </c>
      <c r="AK477" s="32">
        <f t="shared" si="451"/>
        <v>38.3419049259743</v>
      </c>
      <c r="AL477" s="32">
        <f t="shared" si="452"/>
        <v>1.54471224444449</v>
      </c>
      <c r="AM477" s="32" t="str">
        <f t="shared" si="432"/>
        <v>1-6,32559654701303i</v>
      </c>
      <c r="AN477" s="32">
        <f t="shared" si="453"/>
        <v>6.40415268990232</v>
      </c>
      <c r="AO477" s="32">
        <f t="shared" si="454"/>
        <v>-1.41400603314475</v>
      </c>
      <c r="AP477" s="30" t="str">
        <f t="shared" si="455"/>
        <v>5,10063040893021-38,6554515223942i</v>
      </c>
      <c r="AQ477" s="32">
        <f t="shared" si="456"/>
        <v>31.8191797249567</v>
      </c>
      <c r="AR477" s="31">
        <f t="shared" si="457"/>
        <v>-82.4831819303919</v>
      </c>
      <c r="AS477" t="str">
        <f t="shared" si="433"/>
        <v>-0,000100699300699301</v>
      </c>
      <c r="AT477" t="str">
        <f t="shared" si="434"/>
        <v>0,549266283421307i</v>
      </c>
      <c r="AU477">
        <f t="shared" si="458"/>
        <v>0.549266283421307</v>
      </c>
      <c r="AV477">
        <f t="shared" si="459"/>
        <v>1.5707963267949</v>
      </c>
      <c r="AW477" t="str">
        <f t="shared" si="435"/>
        <v>1+28,1214262569958i</v>
      </c>
      <c r="AX477">
        <f t="shared" si="460"/>
        <v>28.1392006767721</v>
      </c>
      <c r="AY477">
        <f t="shared" si="461"/>
        <v>1.53525123018104</v>
      </c>
      <c r="AZ477" t="str">
        <f t="shared" si="436"/>
        <v>1+1344,44350637169i</v>
      </c>
      <c r="BA477">
        <f t="shared" si="462"/>
        <v>1344.44387827272</v>
      </c>
      <c r="BB477">
        <f t="shared" si="463"/>
        <v>1.57005252476019</v>
      </c>
      <c r="BC477" s="30" t="str">
        <f t="shared" si="464"/>
        <v>-0,000304776983765528+0,0087540976847907i</v>
      </c>
      <c r="BD477" s="32">
        <f t="shared" si="465"/>
        <v>-41.1505112969567</v>
      </c>
      <c r="BE477" s="31">
        <f t="shared" si="466"/>
        <v>91.9939673009767</v>
      </c>
      <c r="BF477" s="30" t="str">
        <f t="shared" si="467"/>
        <v>0,000265314903194729-0,0236440672516625i</v>
      </c>
      <c r="BG477" s="68">
        <f t="shared" si="468"/>
        <v>-32.5250094715455</v>
      </c>
      <c r="BH477" s="31">
        <f t="shared" si="469"/>
        <v>-89.3570993496954</v>
      </c>
      <c r="BI477" s="30" t="str">
        <f t="shared" si="423"/>
        <v>0,336839043925394+0,0564327087748789i</v>
      </c>
      <c r="BJ477" s="68">
        <f t="shared" si="470"/>
        <v>-9.33133157199999</v>
      </c>
      <c r="BK477" s="31">
        <f t="shared" si="424"/>
        <v>9.51078537058482</v>
      </c>
      <c r="BL477" s="32">
        <f t="shared" si="471"/>
        <v>-32.5250094715455</v>
      </c>
      <c r="BM477" s="31">
        <f t="shared" si="472"/>
        <v>-89.3570993496954</v>
      </c>
      <c r="BO477">
        <f t="shared" si="473"/>
        <v>0</v>
      </c>
      <c r="BP477">
        <f t="shared" si="474"/>
        <v>0</v>
      </c>
    </row>
    <row r="478" spans="14:68">
      <c r="N478" s="7">
        <v>60</v>
      </c>
      <c r="O478" s="18">
        <f t="shared" si="422"/>
        <v>398107.170553497</v>
      </c>
      <c r="P478" s="86" t="str">
        <f t="shared" si="425"/>
        <v>60</v>
      </c>
      <c r="Q478" s="4" t="str">
        <f t="shared" si="426"/>
        <v>1+3268,47133628064i</v>
      </c>
      <c r="R478" s="4">
        <f t="shared" si="437"/>
        <v>3268.47148925735</v>
      </c>
      <c r="S478" s="4">
        <f t="shared" si="438"/>
        <v>1.5704903733794</v>
      </c>
      <c r="T478" s="4" t="str">
        <f t="shared" si="427"/>
        <v>1+39,2216560353677i</v>
      </c>
      <c r="U478" s="4">
        <f t="shared" si="439"/>
        <v>39.2344020236921</v>
      </c>
      <c r="V478" s="4">
        <f t="shared" si="440"/>
        <v>1.54530573048889</v>
      </c>
      <c r="W478" t="str">
        <f t="shared" si="428"/>
        <v>1-54,7177121029125i</v>
      </c>
      <c r="X478" s="4">
        <f t="shared" si="441"/>
        <v>54.7268491489983</v>
      </c>
      <c r="Y478" s="4">
        <f t="shared" si="442"/>
        <v>-1.55252274313906</v>
      </c>
      <c r="Z478" t="str">
        <f t="shared" si="429"/>
        <v>-0,29379036119275+14,5998979931736i</v>
      </c>
      <c r="AA478" s="4">
        <f t="shared" si="443"/>
        <v>14.6028536316504</v>
      </c>
      <c r="AB478" s="4">
        <f t="shared" si="444"/>
        <v>1.59091637945073</v>
      </c>
      <c r="AC478" s="67" t="str">
        <f t="shared" si="445"/>
        <v>-2,69822160316064+0,0729536995536075i</v>
      </c>
      <c r="AD478" s="68">
        <f t="shared" si="446"/>
        <v>8.62472599622873</v>
      </c>
      <c r="AE478" s="31">
        <f t="shared" si="447"/>
        <v>178.451231373129</v>
      </c>
      <c r="AF478" s="32" t="str">
        <f t="shared" si="448"/>
        <v>326,048966736478</v>
      </c>
      <c r="AG478" s="32" t="str">
        <f t="shared" si="430"/>
        <v>1+2101,16014475184i</v>
      </c>
      <c r="AH478" s="32">
        <f t="shared" si="449"/>
        <v>2101.1603827156</v>
      </c>
      <c r="AI478" s="32">
        <f t="shared" si="450"/>
        <v>1.57032039928076</v>
      </c>
      <c r="AJ478" s="32" t="str">
        <f t="shared" si="431"/>
        <v>1+39,2216560353677i</v>
      </c>
      <c r="AK478" s="32">
        <f t="shared" si="451"/>
        <v>39.2344020236921</v>
      </c>
      <c r="AL478" s="32">
        <f t="shared" si="452"/>
        <v>1.54530573048889</v>
      </c>
      <c r="AM478" s="32" t="str">
        <f t="shared" si="432"/>
        <v>1-6,47293861855375i</v>
      </c>
      <c r="AN478" s="32">
        <f t="shared" si="453"/>
        <v>6.54972780805161</v>
      </c>
      <c r="AO478" s="32">
        <f t="shared" si="454"/>
        <v>-1.41751874668353</v>
      </c>
      <c r="AP478" s="30" t="str">
        <f t="shared" si="455"/>
        <v>5,10062698282431-39,548653859163i</v>
      </c>
      <c r="AQ478" s="32">
        <f t="shared" si="456"/>
        <v>32.0142782913585</v>
      </c>
      <c r="AR478" s="31">
        <f t="shared" si="457"/>
        <v>-82.6510765133316</v>
      </c>
      <c r="AS478" t="str">
        <f t="shared" si="433"/>
        <v>-0,000100699300699301</v>
      </c>
      <c r="AT478" t="str">
        <f t="shared" si="434"/>
        <v>0,562060338721117i</v>
      </c>
      <c r="AU478">
        <f t="shared" si="458"/>
        <v>0.562060338721117</v>
      </c>
      <c r="AV478">
        <f t="shared" si="459"/>
        <v>1.5707963267949</v>
      </c>
      <c r="AW478" t="str">
        <f t="shared" si="435"/>
        <v>1+28,7764584217237i</v>
      </c>
      <c r="AX478">
        <f t="shared" si="460"/>
        <v>28.7938284932239</v>
      </c>
      <c r="AY478">
        <f t="shared" si="461"/>
        <v>1.53605967708696</v>
      </c>
      <c r="AZ478" t="str">
        <f t="shared" si="436"/>
        <v>1+1375,75961858751i</v>
      </c>
      <c r="BA478">
        <f t="shared" si="462"/>
        <v>1375.75998202305</v>
      </c>
      <c r="BB478">
        <f t="shared" si="463"/>
        <v>1.57006945575553</v>
      </c>
      <c r="BC478" s="30" t="str">
        <f t="shared" si="464"/>
        <v>-0,00029107630490999+0,00855530620065394i</v>
      </c>
      <c r="BD478" s="32">
        <f t="shared" si="465"/>
        <v>-41.3502645414146</v>
      </c>
      <c r="BE478" s="31">
        <f t="shared" si="466"/>
        <v>91.948616779883</v>
      </c>
      <c r="BF478" s="30" t="str">
        <f t="shared" si="467"/>
        <v>0,000161247135924686-0,0231053471055542i</v>
      </c>
      <c r="BG478" s="68">
        <f t="shared" si="468"/>
        <v>-32.7255385451858</v>
      </c>
      <c r="BH478" s="31">
        <f t="shared" si="469"/>
        <v>-89.600151846988</v>
      </c>
      <c r="BI478" s="30" t="str">
        <f t="shared" si="423"/>
        <v>0,336866171933929+0,055149101682869i</v>
      </c>
      <c r="BJ478" s="68">
        <f t="shared" si="470"/>
        <v>-9.33598625005604</v>
      </c>
      <c r="BK478" s="31">
        <f t="shared" si="424"/>
        <v>9.29754026655139</v>
      </c>
      <c r="BL478" s="32">
        <f t="shared" si="471"/>
        <v>-32.7255385451858</v>
      </c>
      <c r="BM478" s="31">
        <f t="shared" si="472"/>
        <v>-89.600151846988</v>
      </c>
      <c r="BO478">
        <f t="shared" si="473"/>
        <v>0</v>
      </c>
      <c r="BP478">
        <f t="shared" si="474"/>
        <v>0</v>
      </c>
    </row>
    <row r="479" spans="14:68">
      <c r="N479" s="7">
        <v>61</v>
      </c>
      <c r="O479" s="18">
        <f t="shared" si="422"/>
        <v>407380.277804113</v>
      </c>
      <c r="P479" s="86" t="str">
        <f t="shared" si="425"/>
        <v>60</v>
      </c>
      <c r="Q479" s="4" t="str">
        <f t="shared" si="426"/>
        <v>1+3344,60381388649i</v>
      </c>
      <c r="R479" s="4">
        <f t="shared" si="437"/>
        <v>3344.60396338102</v>
      </c>
      <c r="S479" s="4">
        <f t="shared" si="438"/>
        <v>1.57049733772897</v>
      </c>
      <c r="T479" s="4" t="str">
        <f t="shared" si="427"/>
        <v>1+40,1352457666379i</v>
      </c>
      <c r="U479" s="4">
        <f t="shared" si="439"/>
        <v>40.1477017119091</v>
      </c>
      <c r="V479" s="4">
        <f t="shared" si="440"/>
        <v>1.54588572449735</v>
      </c>
      <c r="W479" t="str">
        <f t="shared" si="428"/>
        <v>1-55,9922513485462i</v>
      </c>
      <c r="X479" s="4">
        <f t="shared" si="441"/>
        <v>56.001180443619</v>
      </c>
      <c r="Y479" s="4">
        <f t="shared" si="442"/>
        <v>-1.55293861123028</v>
      </c>
      <c r="Z479" t="str">
        <f t="shared" si="429"/>
        <v>-0,35476482239802+14,9399733044284i</v>
      </c>
      <c r="AA479" s="4">
        <f t="shared" si="443"/>
        <v>14.9441848361242</v>
      </c>
      <c r="AB479" s="4">
        <f t="shared" si="444"/>
        <v>1.5945378795359</v>
      </c>
      <c r="AC479" s="67" t="str">
        <f t="shared" si="445"/>
        <v>-2,69767866905897+0,0822924375519052i</v>
      </c>
      <c r="AD479" s="68">
        <f t="shared" si="446"/>
        <v>8.62384380380406</v>
      </c>
      <c r="AE479" s="31">
        <f t="shared" si="447"/>
        <v>178.252739397271</v>
      </c>
      <c r="AF479" s="32" t="str">
        <f t="shared" si="448"/>
        <v>326,048966736478</v>
      </c>
      <c r="AG479" s="32" t="str">
        <f t="shared" si="430"/>
        <v>1+2150,10245178417i</v>
      </c>
      <c r="AH479" s="32">
        <f t="shared" si="449"/>
        <v>2150.10268433122</v>
      </c>
      <c r="AI479" s="32">
        <f t="shared" si="450"/>
        <v>1.57033123271202</v>
      </c>
      <c r="AJ479" s="32" t="str">
        <f t="shared" si="431"/>
        <v>1+40,1352457666379i</v>
      </c>
      <c r="AK479" s="32">
        <f t="shared" si="451"/>
        <v>40.1477017119091</v>
      </c>
      <c r="AL479" s="32">
        <f t="shared" si="452"/>
        <v>1.54588572449735</v>
      </c>
      <c r="AM479" s="32" t="str">
        <f t="shared" si="432"/>
        <v>1-6,62371272782953i</v>
      </c>
      <c r="AN479" s="32">
        <f t="shared" si="453"/>
        <v>6.69877379083746</v>
      </c>
      <c r="AO479" s="32">
        <f t="shared" si="454"/>
        <v>-1.42095518902702</v>
      </c>
      <c r="AP479" s="30" t="str">
        <f t="shared" si="455"/>
        <v>5,10062371091851-40,4628254155497i</v>
      </c>
      <c r="AQ479" s="32">
        <f t="shared" si="456"/>
        <v>32.2095925619773</v>
      </c>
      <c r="AR479" s="31">
        <f t="shared" si="457"/>
        <v>-82.8153596572152</v>
      </c>
      <c r="AS479" t="str">
        <f t="shared" si="433"/>
        <v>-0,000100699300699301</v>
      </c>
      <c r="AT479" t="str">
        <f t="shared" si="434"/>
        <v>0,575152405852267i</v>
      </c>
      <c r="AU479">
        <f t="shared" si="458"/>
        <v>0.575152405852267</v>
      </c>
      <c r="AV479">
        <f t="shared" si="459"/>
        <v>1.5707963267949</v>
      </c>
      <c r="AW479" t="str">
        <f t="shared" si="435"/>
        <v>1+29,4467482456084i</v>
      </c>
      <c r="AX479">
        <f t="shared" si="460"/>
        <v>29.4637231564553</v>
      </c>
      <c r="AY479">
        <f t="shared" si="461"/>
        <v>1.5368497653906</v>
      </c>
      <c r="AZ479" t="str">
        <f t="shared" si="436"/>
        <v>1+1407,80517676345i</v>
      </c>
      <c r="BA479">
        <f t="shared" si="462"/>
        <v>1407.80553192618</v>
      </c>
      <c r="BB479">
        <f t="shared" si="463"/>
        <v>1.57008600135476</v>
      </c>
      <c r="BC479" s="30" t="str">
        <f t="shared" si="464"/>
        <v>-0,00027799080407368+0,00836100803441987i</v>
      </c>
      <c r="BD479" s="32">
        <f t="shared" si="465"/>
        <v>-41.5500288786012</v>
      </c>
      <c r="BE479" s="31">
        <f t="shared" si="466"/>
        <v>91.904296047647</v>
      </c>
      <c r="BF479" s="30" t="str">
        <f t="shared" si="467"/>
        <v>0,0000618821308006433-0,0225781895671694i</v>
      </c>
      <c r="BG479" s="68">
        <f t="shared" si="468"/>
        <v>-32.9261850747972</v>
      </c>
      <c r="BH479" s="31">
        <f t="shared" si="469"/>
        <v>-89.8429645550823</v>
      </c>
      <c r="BI479" s="30" t="str">
        <f t="shared" si="423"/>
        <v>0,336892081908064+0,0538946491999038i</v>
      </c>
      <c r="BJ479" s="68">
        <f t="shared" si="470"/>
        <v>-9.3404363166239</v>
      </c>
      <c r="BK479" s="31">
        <f t="shared" si="424"/>
        <v>9.08893639043181</v>
      </c>
      <c r="BL479" s="32">
        <f t="shared" si="471"/>
        <v>-32.9261850747972</v>
      </c>
      <c r="BM479" s="31">
        <f t="shared" si="472"/>
        <v>-89.8429645550823</v>
      </c>
      <c r="BO479">
        <f t="shared" si="473"/>
        <v>0</v>
      </c>
      <c r="BP479">
        <f t="shared" si="474"/>
        <v>0</v>
      </c>
    </row>
    <row r="480" spans="14:68">
      <c r="N480" s="7">
        <v>62</v>
      </c>
      <c r="O480" s="18">
        <f t="shared" si="422"/>
        <v>416869.383470336</v>
      </c>
      <c r="P480" s="86" t="str">
        <f t="shared" si="425"/>
        <v>60</v>
      </c>
      <c r="Q480" s="4" t="str">
        <f t="shared" si="426"/>
        <v>1+3422,50964470554i</v>
      </c>
      <c r="R480" s="4">
        <f t="shared" si="437"/>
        <v>3422.50979079716</v>
      </c>
      <c r="S480" s="4">
        <f t="shared" si="438"/>
        <v>1.57050414355062</v>
      </c>
      <c r="T480" s="4" t="str">
        <f t="shared" si="427"/>
        <v>1+41,0701157364665i</v>
      </c>
      <c r="U480" s="4">
        <f t="shared" si="439"/>
        <v>41.0822882347947</v>
      </c>
      <c r="V480" s="4">
        <f t="shared" si="440"/>
        <v>1.54645253242864</v>
      </c>
      <c r="W480" t="str">
        <f t="shared" si="428"/>
        <v>1-57,29647842699i</v>
      </c>
      <c r="X480" s="4">
        <f t="shared" si="441"/>
        <v>57.305204302354</v>
      </c>
      <c r="Y480" s="4">
        <f t="shared" si="442"/>
        <v>-1.55334501897735</v>
      </c>
      <c r="Z480" t="str">
        <f t="shared" si="429"/>
        <v>-0,41861292142808+15,2879699872832i</v>
      </c>
      <c r="AA480" s="4">
        <f t="shared" si="443"/>
        <v>15.2937001118127</v>
      </c>
      <c r="AB480" s="4">
        <f t="shared" si="444"/>
        <v>1.59817133788318</v>
      </c>
      <c r="AC480" s="67" t="str">
        <f t="shared" si="445"/>
        <v>-2,69706843040288+0,0916690224323509i</v>
      </c>
      <c r="AD480" s="68">
        <f t="shared" si="446"/>
        <v>8.62285343293868</v>
      </c>
      <c r="AE480" s="31">
        <f t="shared" si="447"/>
        <v>178.053357877667</v>
      </c>
      <c r="AF480" s="32" t="str">
        <f t="shared" si="448"/>
        <v>326,048966736478</v>
      </c>
      <c r="AG480" s="32" t="str">
        <f t="shared" si="430"/>
        <v>1+2200,18477159642i</v>
      </c>
      <c r="AH480" s="32">
        <f t="shared" si="449"/>
        <v>2200.18499885005</v>
      </c>
      <c r="AI480" s="32">
        <f t="shared" si="450"/>
        <v>1.57034181954439</v>
      </c>
      <c r="AJ480" s="32" t="str">
        <f t="shared" si="431"/>
        <v>1+41,0701157364665i</v>
      </c>
      <c r="AK480" s="32">
        <f t="shared" si="451"/>
        <v>41.0822882347947</v>
      </c>
      <c r="AL480" s="32">
        <f t="shared" si="452"/>
        <v>1.54645253242864</v>
      </c>
      <c r="AM480" s="32" t="str">
        <f t="shared" si="432"/>
        <v>1-6,77799881726881i</v>
      </c>
      <c r="AN480" s="32">
        <f t="shared" si="453"/>
        <v>6.85136978763352</v>
      </c>
      <c r="AO480" s="32">
        <f t="shared" si="454"/>
        <v>-1.42431685740379</v>
      </c>
      <c r="AP480" s="30" t="str">
        <f t="shared" si="455"/>
        <v>5,10062058627267-41,3984508974234i</v>
      </c>
      <c r="AQ480" s="32">
        <f t="shared" si="456"/>
        <v>32.4051132499903</v>
      </c>
      <c r="AR480" s="31">
        <f t="shared" si="457"/>
        <v>-82.976099945883</v>
      </c>
      <c r="AS480" t="str">
        <f t="shared" si="433"/>
        <v>-0,000100699300699301</v>
      </c>
      <c r="AT480" t="str">
        <f t="shared" si="434"/>
        <v>0,588549426402041i</v>
      </c>
      <c r="AU480">
        <f t="shared" si="458"/>
        <v>0.588549426402041</v>
      </c>
      <c r="AV480">
        <f t="shared" si="459"/>
        <v>1.5707963267949</v>
      </c>
      <c r="AW480" t="str">
        <f t="shared" si="435"/>
        <v>1+30,1326511251867i</v>
      </c>
      <c r="AX480">
        <f t="shared" si="460"/>
        <v>30.1492398549651</v>
      </c>
      <c r="AY480">
        <f t="shared" si="461"/>
        <v>1.53762191005937</v>
      </c>
      <c r="AZ480" t="str">
        <f t="shared" si="436"/>
        <v>1+1440,5971718786i</v>
      </c>
      <c r="BA480">
        <f t="shared" si="462"/>
        <v>1440.59751895685</v>
      </c>
      <c r="BB480">
        <f t="shared" si="463"/>
        <v>1.57010217033055</v>
      </c>
      <c r="BC480" s="30" t="str">
        <f t="shared" si="464"/>
        <v>-0,00026549292141421+0,00817110301807884i</v>
      </c>
      <c r="BD480" s="32">
        <f t="shared" si="465"/>
        <v>-41.7498038104132</v>
      </c>
      <c r="BE480" s="31">
        <f t="shared" si="466"/>
        <v>91.860981831025</v>
      </c>
      <c r="BF480" s="30" t="str">
        <f t="shared" si="467"/>
        <v>-0,0000329844490196208-0,0220623614681989i</v>
      </c>
      <c r="BG480" s="68">
        <f t="shared" si="468"/>
        <v>-33.1269503774745</v>
      </c>
      <c r="BH480" s="31">
        <f t="shared" si="469"/>
        <v>-90.0856602913084</v>
      </c>
      <c r="BI480" s="30" t="str">
        <f t="shared" si="423"/>
        <v>0,33691682841125+0,0526686919373473i</v>
      </c>
      <c r="BJ480" s="68">
        <f t="shared" si="470"/>
        <v>-9.34469056042289</v>
      </c>
      <c r="BK480" s="31">
        <f t="shared" si="424"/>
        <v>8.88488188514202</v>
      </c>
      <c r="BL480" s="32">
        <f t="shared" si="471"/>
        <v>-33.1269503774745</v>
      </c>
      <c r="BM480" s="31">
        <f t="shared" si="472"/>
        <v>-90.0856602913084</v>
      </c>
      <c r="BO480">
        <f t="shared" si="473"/>
        <v>0</v>
      </c>
      <c r="BP480">
        <f t="shared" si="474"/>
        <v>0</v>
      </c>
    </row>
    <row r="481" spans="14:68">
      <c r="N481" s="7">
        <v>63</v>
      </c>
      <c r="O481" s="18">
        <f t="shared" si="422"/>
        <v>426579.518801593</v>
      </c>
      <c r="P481" s="86" t="str">
        <f t="shared" si="425"/>
        <v>60</v>
      </c>
      <c r="Q481" s="4" t="str">
        <f t="shared" si="426"/>
        <v>1+3502,23013544047i</v>
      </c>
      <c r="R481" s="4">
        <f t="shared" si="437"/>
        <v>3502.23027820664</v>
      </c>
      <c r="S481" s="4">
        <f t="shared" si="438"/>
        <v>1.57051079445289</v>
      </c>
      <c r="T481" s="4" t="str">
        <f t="shared" si="427"/>
        <v>1+42,0267616252857i</v>
      </c>
      <c r="U481" s="4">
        <f t="shared" si="439"/>
        <v>42.0386571230408</v>
      </c>
      <c r="V481" s="4">
        <f t="shared" si="440"/>
        <v>1.54700645335418</v>
      </c>
      <c r="W481" t="str">
        <f t="shared" si="428"/>
        <v>1-58,6310848567043i</v>
      </c>
      <c r="X481" s="4">
        <f t="shared" si="441"/>
        <v>58.6396121361155</v>
      </c>
      <c r="Y481" s="4">
        <f t="shared" si="442"/>
        <v>-1.55374218132574</v>
      </c>
      <c r="Z481" t="str">
        <f t="shared" si="429"/>
        <v>-0,48547008866122+15,6440725541854i</v>
      </c>
      <c r="AA481" s="4">
        <f t="shared" si="443"/>
        <v>15.6516033455874</v>
      </c>
      <c r="AB481" s="4">
        <f t="shared" si="444"/>
        <v>1.60181857764498</v>
      </c>
      <c r="AC481" s="67" t="str">
        <f t="shared" si="445"/>
        <v>-2,69638968037062+0,101087637638518i</v>
      </c>
      <c r="AD481" s="68">
        <f t="shared" si="446"/>
        <v>8.62175284915536</v>
      </c>
      <c r="AE481" s="31">
        <f t="shared" si="447"/>
        <v>177.852986968687</v>
      </c>
      <c r="AF481" s="32" t="str">
        <f t="shared" si="448"/>
        <v>326,048966736478</v>
      </c>
      <c r="AG481" s="32" t="str">
        <f t="shared" si="430"/>
        <v>1+2251,43365849745i</v>
      </c>
      <c r="AH481" s="32">
        <f t="shared" si="449"/>
        <v>2251.43388057816</v>
      </c>
      <c r="AI481" s="32">
        <f t="shared" si="450"/>
        <v>1.57035216539113</v>
      </c>
      <c r="AJ481" s="32" t="str">
        <f t="shared" si="431"/>
        <v>1+42,0267616252857i</v>
      </c>
      <c r="AK481" s="32">
        <f t="shared" si="451"/>
        <v>42.0386571230408</v>
      </c>
      <c r="AL481" s="32">
        <f t="shared" si="452"/>
        <v>1.54700645335418</v>
      </c>
      <c r="AM481" s="32" t="str">
        <f t="shared" si="432"/>
        <v>1-6,93587869139841i</v>
      </c>
      <c r="AN481" s="32">
        <f t="shared" si="453"/>
        <v>7.00759682214913</v>
      </c>
      <c r="AO481" s="32">
        <f t="shared" si="454"/>
        <v>-1.42760523014078</v>
      </c>
      <c r="AP481" s="30" t="str">
        <f t="shared" si="455"/>
        <v>5,10061760225902-42,3560263858083i</v>
      </c>
      <c r="AQ481" s="32">
        <f t="shared" si="456"/>
        <v>32.6008314506518</v>
      </c>
      <c r="AR481" s="31">
        <f t="shared" si="457"/>
        <v>-83.1333652673146</v>
      </c>
      <c r="AS481" t="str">
        <f t="shared" si="433"/>
        <v>-0,000100699300699301</v>
      </c>
      <c r="AT481" t="str">
        <f t="shared" si="434"/>
        <v>0,602258503648066i</v>
      </c>
      <c r="AU481">
        <f t="shared" si="458"/>
        <v>0.602258503648066</v>
      </c>
      <c r="AV481">
        <f t="shared" si="459"/>
        <v>1.5707963267949</v>
      </c>
      <c r="AW481" t="str">
        <f t="shared" si="435"/>
        <v>1+30,8345307352443i</v>
      </c>
      <c r="AX481">
        <f t="shared" si="460"/>
        <v>30.8507420601632</v>
      </c>
      <c r="AY481">
        <f t="shared" si="461"/>
        <v>1.5383765168096</v>
      </c>
      <c r="AZ481" t="str">
        <f t="shared" si="436"/>
        <v>1+1474,15299068285i</v>
      </c>
      <c r="BA481">
        <f t="shared" si="462"/>
        <v>1474.15332986063</v>
      </c>
      <c r="BB481">
        <f t="shared" si="463"/>
        <v>1.57011797125586</v>
      </c>
      <c r="BC481" s="30" t="str">
        <f t="shared" si="464"/>
        <v>-0,000253556326275485+0,00798549312331276i</v>
      </c>
      <c r="BD481" s="32">
        <f t="shared" si="465"/>
        <v>-41.9495888610638</v>
      </c>
      <c r="BE481" s="31">
        <f t="shared" si="466"/>
        <v>91.8186513753775</v>
      </c>
      <c r="BF481" s="30" t="str">
        <f t="shared" si="467"/>
        <v>-0,000123547973652414-0,0215576326604026i</v>
      </c>
      <c r="BG481" s="68">
        <f t="shared" si="468"/>
        <v>-33.3278360119084</v>
      </c>
      <c r="BH481" s="31">
        <f t="shared" si="469"/>
        <v>-90.3283616559353</v>
      </c>
      <c r="BI481" s="30" t="str">
        <f t="shared" si="423"/>
        <v>0,336940463573761+0,0514705852335005i</v>
      </c>
      <c r="BJ481" s="68">
        <f t="shared" si="470"/>
        <v>-9.34875741041203</v>
      </c>
      <c r="BK481" s="31">
        <f t="shared" si="424"/>
        <v>8.6852861080629</v>
      </c>
      <c r="BL481" s="32">
        <f t="shared" si="471"/>
        <v>-33.3278360119084</v>
      </c>
      <c r="BM481" s="31">
        <f t="shared" si="472"/>
        <v>-90.3283616559353</v>
      </c>
      <c r="BO481">
        <f t="shared" si="473"/>
        <v>0</v>
      </c>
      <c r="BP481">
        <f t="shared" si="474"/>
        <v>0</v>
      </c>
    </row>
    <row r="482" spans="14:68">
      <c r="N482" s="7">
        <v>64</v>
      </c>
      <c r="O482" s="18">
        <f t="shared" si="422"/>
        <v>436515.832240166</v>
      </c>
      <c r="P482" s="86" t="str">
        <f t="shared" si="425"/>
        <v>60</v>
      </c>
      <c r="Q482" s="4" t="str">
        <f t="shared" si="426"/>
        <v>1+3583,8075549507i</v>
      </c>
      <c r="R482" s="4">
        <f t="shared" si="437"/>
        <v>3583.80769446712</v>
      </c>
      <c r="S482" s="4">
        <f t="shared" si="438"/>
        <v>1.57051729396216</v>
      </c>
      <c r="T482" s="4" t="str">
        <f t="shared" si="427"/>
        <v>1+43,0056906594084i</v>
      </c>
      <c r="U482" s="4">
        <f t="shared" si="439"/>
        <v>43.017315456601</v>
      </c>
      <c r="V482" s="4">
        <f t="shared" si="440"/>
        <v>1.54754777960974</v>
      </c>
      <c r="W482" t="str">
        <f t="shared" si="428"/>
        <v>1-59,9967782636836i</v>
      </c>
      <c r="X482" s="4">
        <f t="shared" si="441"/>
        <v>60.0051114657878</v>
      </c>
      <c r="Y482" s="4">
        <f t="shared" si="442"/>
        <v>-1.55413030835469</v>
      </c>
      <c r="Z482" t="str">
        <f t="shared" si="429"/>
        <v>-0,55547813711286+16,0084698154296i</v>
      </c>
      <c r="AA482" s="4">
        <f t="shared" si="443"/>
        <v>16.0181041884591</v>
      </c>
      <c r="AB482" s="4">
        <f t="shared" si="444"/>
        <v>1.60548142590345</v>
      </c>
      <c r="AC482" s="67" t="str">
        <f t="shared" si="445"/>
        <v>-2,69564107962229+0,110552459239079i</v>
      </c>
      <c r="AD482" s="68">
        <f t="shared" si="446"/>
        <v>8.6205397949265</v>
      </c>
      <c r="AE482" s="31">
        <f t="shared" si="447"/>
        <v>177.651526497139</v>
      </c>
      <c r="AF482" s="32" t="str">
        <f t="shared" si="448"/>
        <v>326,048966736478</v>
      </c>
      <c r="AG482" s="32" t="str">
        <f t="shared" si="430"/>
        <v>1+2303,87628532545i</v>
      </c>
      <c r="AH482" s="32">
        <f t="shared" si="449"/>
        <v>2303.87650235098</v>
      </c>
      <c r="AI482" s="32">
        <f t="shared" si="450"/>
        <v>1.57036227573774</v>
      </c>
      <c r="AJ482" s="32" t="str">
        <f t="shared" si="431"/>
        <v>1+43,0056906594084i</v>
      </c>
      <c r="AK482" s="32">
        <f t="shared" si="451"/>
        <v>43.017315456601</v>
      </c>
      <c r="AL482" s="32">
        <f t="shared" si="452"/>
        <v>1.54754777960974</v>
      </c>
      <c r="AM482" s="32" t="str">
        <f t="shared" si="432"/>
        <v>1-7,09743606021739i</v>
      </c>
      <c r="AN482" s="32">
        <f t="shared" si="453"/>
        <v>7.16753783588717</v>
      </c>
      <c r="AO482" s="32">
        <f t="shared" si="454"/>
        <v>-1.43082176616091</v>
      </c>
      <c r="AP482" s="30" t="str">
        <f t="shared" si="455"/>
        <v>5,10061475254802-43,3360595999119i</v>
      </c>
      <c r="AQ482" s="32">
        <f t="shared" si="456"/>
        <v>32.7967386271069</v>
      </c>
      <c r="AR482" s="31">
        <f t="shared" si="457"/>
        <v>-83.287222776327</v>
      </c>
      <c r="AS482" t="str">
        <f t="shared" si="433"/>
        <v>-0,000100699300699301</v>
      </c>
      <c r="AT482" t="str">
        <f t="shared" si="434"/>
        <v>0,616286906324558i</v>
      </c>
      <c r="AU482">
        <f t="shared" si="458"/>
        <v>0.616286906324558</v>
      </c>
      <c r="AV482">
        <f t="shared" si="459"/>
        <v>1.5707963267949</v>
      </c>
      <c r="AW482" t="str">
        <f t="shared" si="435"/>
        <v>1+31,552759221641i</v>
      </c>
      <c r="AX482">
        <f t="shared" si="460"/>
        <v>31.5686017190951</v>
      </c>
      <c r="AY482">
        <f t="shared" si="461"/>
        <v>1.53911398230426</v>
      </c>
      <c r="AZ482" t="str">
        <f t="shared" si="436"/>
        <v>1+1508,49042491547i</v>
      </c>
      <c r="BA482">
        <f t="shared" si="462"/>
        <v>1508.49075637263</v>
      </c>
      <c r="BB482">
        <f t="shared" si="463"/>
        <v>1.57013341250854</v>
      </c>
      <c r="BC482" s="30" t="str">
        <f t="shared" si="464"/>
        <v>-0,000242155862848049+0,0078040824220979i</v>
      </c>
      <c r="BD482" s="32">
        <f t="shared" si="465"/>
        <v>-42.1493835760884</v>
      </c>
      <c r="BE482" s="31">
        <f t="shared" si="466"/>
        <v>91.7772824336058</v>
      </c>
      <c r="BF482" s="30" t="str">
        <f t="shared" si="467"/>
        <v>-0,000209995212302809-0,0210637760919223i</v>
      </c>
      <c r="BG482" s="68">
        <f t="shared" si="468"/>
        <v>-33.528843781162</v>
      </c>
      <c r="BH482" s="31">
        <f t="shared" si="469"/>
        <v>-90.5711910692552</v>
      </c>
      <c r="BI482" s="30" t="str">
        <f t="shared" si="423"/>
        <v>0,336963037200201+0,0502996988371044i</v>
      </c>
      <c r="BJ482" s="68">
        <f t="shared" si="470"/>
        <v>-9.35264494898157</v>
      </c>
      <c r="BK482" s="31">
        <f t="shared" si="424"/>
        <v>8.49005965727886</v>
      </c>
      <c r="BL482" s="32">
        <f t="shared" si="471"/>
        <v>-33.528843781162</v>
      </c>
      <c r="BM482" s="31">
        <f t="shared" si="472"/>
        <v>-90.5711910692552</v>
      </c>
      <c r="BO482">
        <f t="shared" si="473"/>
        <v>0</v>
      </c>
      <c r="BP482">
        <f t="shared" si="474"/>
        <v>0</v>
      </c>
    </row>
    <row r="483" spans="14:68">
      <c r="N483" s="7">
        <v>65</v>
      </c>
      <c r="O483" s="18">
        <f t="shared" si="422"/>
        <v>446683.592150964</v>
      </c>
      <c r="P483" s="86" t="str">
        <f t="shared" si="425"/>
        <v>60</v>
      </c>
      <c r="Q483" s="4" t="str">
        <f t="shared" si="426"/>
        <v>1+3667,28515666389i</v>
      </c>
      <c r="R483" s="4">
        <f t="shared" si="437"/>
        <v>3667.28529300453</v>
      </c>
      <c r="S483" s="4">
        <f t="shared" si="438"/>
        <v>1.57052364552456</v>
      </c>
      <c r="T483" s="4" t="str">
        <f t="shared" si="427"/>
        <v>1+44,0074218799667i</v>
      </c>
      <c r="U483" s="4">
        <f t="shared" si="439"/>
        <v>44.0187821335549</v>
      </c>
      <c r="V483" s="4">
        <f t="shared" si="440"/>
        <v>1.54807679694392</v>
      </c>
      <c r="W483" t="str">
        <f t="shared" si="428"/>
        <v>1-61,39428275665i</v>
      </c>
      <c r="X483" s="4">
        <f t="shared" si="441"/>
        <v>61.4024262973662</v>
      </c>
      <c r="Y483" s="4">
        <f t="shared" si="442"/>
        <v>-1.5545096053863</v>
      </c>
      <c r="Z483" t="str">
        <f t="shared" si="429"/>
        <v>-0,62878556323992+16,3813549792671i</v>
      </c>
      <c r="AA483" s="4">
        <f t="shared" si="443"/>
        <v>16.3934182598169</v>
      </c>
      <c r="AB483" s="4">
        <f t="shared" si="444"/>
        <v>1.60916171415047</v>
      </c>
      <c r="AC483" s="67" t="str">
        <f t="shared" si="445"/>
        <v>-2,69482115426943+0,12006765450927i</v>
      </c>
      <c r="AD483" s="68">
        <f t="shared" si="446"/>
        <v>8.61921178551772</v>
      </c>
      <c r="AE483" s="31">
        <f t="shared" si="447"/>
        <v>177.448875936919</v>
      </c>
      <c r="AF483" s="32" t="str">
        <f t="shared" si="448"/>
        <v>326,048966736478</v>
      </c>
      <c r="AG483" s="32" t="str">
        <f t="shared" si="430"/>
        <v>1+2357,54045785536i</v>
      </c>
      <c r="AH483" s="32">
        <f t="shared" si="449"/>
        <v>2357.54066994079</v>
      </c>
      <c r="AI483" s="32">
        <f t="shared" si="450"/>
        <v>1.57037215594485</v>
      </c>
      <c r="AJ483" s="32" t="str">
        <f t="shared" si="431"/>
        <v>1+44,0074218799667i</v>
      </c>
      <c r="AK483" s="32">
        <f t="shared" si="451"/>
        <v>44.0187821335549</v>
      </c>
      <c r="AL483" s="32">
        <f t="shared" si="452"/>
        <v>1.54807679694392</v>
      </c>
      <c r="AM483" s="32" t="str">
        <f t="shared" si="432"/>
        <v>1-7,2627565835812i</v>
      </c>
      <c r="AN483" s="32">
        <f t="shared" si="453"/>
        <v>7.33127773258878</v>
      </c>
      <c r="AO483" s="32">
        <f t="shared" si="454"/>
        <v>-1.43396790454607</v>
      </c>
      <c r="AP483" s="30" t="str">
        <f t="shared" si="455"/>
        <v>5,10061203109511-44,3390701663246i</v>
      </c>
      <c r="AQ483" s="32">
        <f t="shared" si="456"/>
        <v>32.992826596597</v>
      </c>
      <c r="AR483" s="31">
        <f t="shared" si="457"/>
        <v>-83.4377388611908</v>
      </c>
      <c r="AS483" t="str">
        <f t="shared" si="433"/>
        <v>-0,000100699300699301</v>
      </c>
      <c r="AT483" t="str">
        <f t="shared" si="434"/>
        <v>0,630642072476307i</v>
      </c>
      <c r="AU483">
        <f t="shared" si="458"/>
        <v>0.630642072476307</v>
      </c>
      <c r="AV483">
        <f t="shared" si="459"/>
        <v>1.5707963267949</v>
      </c>
      <c r="AW483" t="str">
        <f t="shared" si="435"/>
        <v>1+32,2877173986273i</v>
      </c>
      <c r="AX483">
        <f t="shared" si="460"/>
        <v>32.3031994516584</v>
      </c>
      <c r="AY483">
        <f t="shared" si="461"/>
        <v>1.53983469434686</v>
      </c>
      <c r="AZ483" t="str">
        <f t="shared" si="436"/>
        <v>1+1543,62768073863i</v>
      </c>
      <c r="BA483">
        <f t="shared" si="462"/>
        <v>1543.6280046509</v>
      </c>
      <c r="BB483">
        <f t="shared" si="463"/>
        <v>1.57014850227569</v>
      </c>
      <c r="BC483" s="30" t="str">
        <f t="shared" si="464"/>
        <v>-0,000231267498189117+0,00762677704759104i</v>
      </c>
      <c r="BD483" s="32">
        <f t="shared" si="465"/>
        <v>-42.3491875213923</v>
      </c>
      <c r="BE483" s="31">
        <f t="shared" si="466"/>
        <v>91.736853255292</v>
      </c>
      <c r="BF483" s="30" t="str">
        <f t="shared" si="467"/>
        <v>-0,000292504685154392-0,0205805678728167i</v>
      </c>
      <c r="BG483" s="68">
        <f t="shared" si="468"/>
        <v>-33.7299757358745</v>
      </c>
      <c r="BH483" s="31">
        <f t="shared" si="469"/>
        <v>-90.8142708077887</v>
      </c>
      <c r="BI483" s="30" t="str">
        <f t="shared" si="423"/>
        <v>0,336984596872388+0,0491554165968205i</v>
      </c>
      <c r="BJ483" s="68">
        <f t="shared" si="470"/>
        <v>-9.35636092479529</v>
      </c>
      <c r="BK483" s="31">
        <f t="shared" si="424"/>
        <v>8.29911439410119</v>
      </c>
      <c r="BL483" s="32">
        <f t="shared" si="471"/>
        <v>-33.7299757358745</v>
      </c>
      <c r="BM483" s="31">
        <f t="shared" si="472"/>
        <v>-90.8142708077887</v>
      </c>
      <c r="BO483">
        <f t="shared" si="473"/>
        <v>0</v>
      </c>
      <c r="BP483">
        <f t="shared" si="474"/>
        <v>0</v>
      </c>
    </row>
    <row r="484" spans="14:68">
      <c r="N484" s="7">
        <v>66</v>
      </c>
      <c r="O484" s="18">
        <f t="shared" ref="O484:O518" si="475">10^(5+(N484/100))</f>
        <v>457088.189614875</v>
      </c>
      <c r="P484" s="86" t="str">
        <f t="shared" si="425"/>
        <v>60</v>
      </c>
      <c r="Q484" s="4" t="str">
        <f t="shared" si="426"/>
        <v>1+3752,70720150937i</v>
      </c>
      <c r="R484" s="4">
        <f t="shared" si="437"/>
        <v>3752.70733474651</v>
      </c>
      <c r="S484" s="4">
        <f t="shared" si="438"/>
        <v>1.57052985250777</v>
      </c>
      <c r="T484" s="4" t="str">
        <f t="shared" si="427"/>
        <v>1+45,0324864181125i</v>
      </c>
      <c r="U484" s="4">
        <f t="shared" si="439"/>
        <v>45.0435881452342</v>
      </c>
      <c r="V484" s="4">
        <f t="shared" si="440"/>
        <v>1.54859378466363</v>
      </c>
      <c r="W484" t="str">
        <f t="shared" si="428"/>
        <v>1-62,8243393109828i</v>
      </c>
      <c r="X484" s="4">
        <f t="shared" si="441"/>
        <v>62.8322975058329</v>
      </c>
      <c r="Y484" s="4">
        <f t="shared" si="442"/>
        <v>-1.55488027309206</v>
      </c>
      <c r="Z484" t="str">
        <f t="shared" si="429"/>
        <v>-0,70554786192167+16,7629257543474i</v>
      </c>
      <c r="AA484" s="4">
        <f t="shared" si="443"/>
        <v>16.7777673613394</v>
      </c>
      <c r="AB484" s="4">
        <f t="shared" si="444"/>
        <v>1.61286127875337</v>
      </c>
      <c r="AC484" s="67" t="str">
        <f t="shared" si="445"/>
        <v>-2,69392829366714+0,129637380373956i</v>
      </c>
      <c r="AD484" s="68">
        <f t="shared" si="446"/>
        <v>8.61776610444031</v>
      </c>
      <c r="AE484" s="31">
        <f t="shared" si="447"/>
        <v>177.244934384453</v>
      </c>
      <c r="AF484" s="32" t="str">
        <f t="shared" si="448"/>
        <v>326,048966736478</v>
      </c>
      <c r="AG484" s="32" t="str">
        <f t="shared" si="430"/>
        <v>1+2412,45462954174i</v>
      </c>
      <c r="AH484" s="32">
        <f t="shared" si="449"/>
        <v>2412.45483679951</v>
      </c>
      <c r="AI484" s="32">
        <f t="shared" si="450"/>
        <v>1.57038181125107</v>
      </c>
      <c r="AJ484" s="32" t="str">
        <f t="shared" si="431"/>
        <v>1+45,0324864181125i</v>
      </c>
      <c r="AK484" s="32">
        <f t="shared" si="451"/>
        <v>45.0435881452342</v>
      </c>
      <c r="AL484" s="32">
        <f t="shared" si="452"/>
        <v>1.54859378466363</v>
      </c>
      <c r="AM484" s="32" t="str">
        <f t="shared" si="432"/>
        <v>1-7,43192791661953i</v>
      </c>
      <c r="AN484" s="32">
        <f t="shared" si="453"/>
        <v>7.49890342368994</v>
      </c>
      <c r="AO484" s="32">
        <f t="shared" si="454"/>
        <v>-1.43704506416116</v>
      </c>
      <c r="AP484" s="30" t="str">
        <f t="shared" si="455"/>
        <v>5,10060943212774-45,3655898945325i</v>
      </c>
      <c r="AQ484" s="32">
        <f t="shared" si="456"/>
        <v>33.1890875170597</v>
      </c>
      <c r="AR484" s="31">
        <f t="shared" si="457"/>
        <v>-83.58497911392</v>
      </c>
      <c r="AS484" t="str">
        <f t="shared" si="433"/>
        <v>-0,000100699300699301</v>
      </c>
      <c r="AT484" t="str">
        <f t="shared" si="434"/>
        <v>0,645331613402415i</v>
      </c>
      <c r="AU484">
        <f t="shared" si="458"/>
        <v>0.645331613402415</v>
      </c>
      <c r="AV484">
        <f t="shared" si="459"/>
        <v>1.5707963267949</v>
      </c>
      <c r="AW484" t="str">
        <f t="shared" si="435"/>
        <v>1+33,0397949507566i</v>
      </c>
      <c r="AX484">
        <f t="shared" si="460"/>
        <v>33.0549247524184</v>
      </c>
      <c r="AY484">
        <f t="shared" si="461"/>
        <v>1.54053903207193</v>
      </c>
      <c r="AZ484" t="str">
        <f t="shared" si="436"/>
        <v>1+1579,58338839042i</v>
      </c>
      <c r="BA484">
        <f t="shared" si="462"/>
        <v>1579.58370492955</v>
      </c>
      <c r="BB484">
        <f t="shared" si="463"/>
        <v>1.57016324855809</v>
      </c>
      <c r="BC484" s="30" t="str">
        <f t="shared" si="464"/>
        <v>-0,000220868272503575+0,00745348515533088i</v>
      </c>
      <c r="BD484" s="32">
        <f t="shared" si="465"/>
        <v>-42.5490002823414</v>
      </c>
      <c r="BE484" s="31">
        <f t="shared" si="466"/>
        <v>91.6973425760393</v>
      </c>
      <c r="BF484" s="30" t="str">
        <f t="shared" si="467"/>
        <v>-0,000371247001722499-0,020107787330629i</v>
      </c>
      <c r="BG484" s="68">
        <f t="shared" si="468"/>
        <v>-33.9312341779011</v>
      </c>
      <c r="BH484" s="31">
        <f t="shared" si="469"/>
        <v>-91.0577230395076</v>
      </c>
      <c r="BI484" s="30" t="str">
        <f t="shared" si="423"/>
        <v>0,337005188047737+0,0480371361566158i</v>
      </c>
      <c r="BJ484" s="68">
        <f t="shared" si="470"/>
        <v>-9.3599127652817</v>
      </c>
      <c r="BK484" s="31">
        <f t="shared" si="424"/>
        <v>8.1123634621193</v>
      </c>
      <c r="BL484" s="32">
        <f t="shared" si="471"/>
        <v>-33.9312341779011</v>
      </c>
      <c r="BM484" s="31">
        <f t="shared" si="472"/>
        <v>-91.0577230395076</v>
      </c>
      <c r="BO484">
        <f t="shared" si="473"/>
        <v>0</v>
      </c>
      <c r="BP484">
        <f t="shared" si="474"/>
        <v>0</v>
      </c>
    </row>
    <row r="485" spans="14:68">
      <c r="N485" s="7">
        <v>67</v>
      </c>
      <c r="O485" s="18">
        <f t="shared" si="475"/>
        <v>467735.141287199</v>
      </c>
      <c r="P485" s="86" t="str">
        <f t="shared" si="425"/>
        <v>60</v>
      </c>
      <c r="Q485" s="4" t="str">
        <f t="shared" si="426"/>
        <v>1+3840,11898138607i</v>
      </c>
      <c r="R485" s="4">
        <f t="shared" si="437"/>
        <v>3840.11911159037</v>
      </c>
      <c r="S485" s="4">
        <f t="shared" si="438"/>
        <v>1.57053591820281</v>
      </c>
      <c r="T485" s="4" t="str">
        <f t="shared" si="427"/>
        <v>1+46,0814277766329i</v>
      </c>
      <c r="U485" s="4">
        <f t="shared" si="439"/>
        <v>46.0922768577669</v>
      </c>
      <c r="V485" s="4">
        <f t="shared" si="440"/>
        <v>1.54909901577654</v>
      </c>
      <c r="W485" t="str">
        <f t="shared" si="428"/>
        <v>1-64,2877061615972i</v>
      </c>
      <c r="X485" s="4">
        <f t="shared" si="441"/>
        <v>64.2954832279831</v>
      </c>
      <c r="Y485" s="4">
        <f t="shared" si="442"/>
        <v>-1.55524250759725</v>
      </c>
      <c r="Z485" t="str">
        <f t="shared" si="429"/>
        <v>-0,78592785628537+17,1533844545463i</v>
      </c>
      <c r="AA485" s="4">
        <f t="shared" si="443"/>
        <v>17.171379701141</v>
      </c>
      <c r="AB485" s="4">
        <f t="shared" si="444"/>
        <v>1.61658196140454</v>
      </c>
      <c r="AC485" s="67" t="str">
        <f t="shared" si="445"/>
        <v>-2,69296074803186+0,139265781697268i</v>
      </c>
      <c r="AD485" s="68">
        <f t="shared" si="446"/>
        <v>8.61619979851181</v>
      </c>
      <c r="AE485" s="31">
        <f t="shared" si="447"/>
        <v>177.039600535015</v>
      </c>
      <c r="AF485" s="32" t="str">
        <f t="shared" si="448"/>
        <v>326,048966736478</v>
      </c>
      <c r="AG485" s="32" t="str">
        <f t="shared" si="430"/>
        <v>1+2468,64791660533i</v>
      </c>
      <c r="AH485" s="32">
        <f t="shared" si="449"/>
        <v>2468.64811914534</v>
      </c>
      <c r="AI485" s="32">
        <f t="shared" si="450"/>
        <v>1.57039124677576</v>
      </c>
      <c r="AJ485" s="32" t="str">
        <f t="shared" si="431"/>
        <v>1+46,0814277766329i</v>
      </c>
      <c r="AK485" s="32">
        <f t="shared" si="451"/>
        <v>46.0922768577669</v>
      </c>
      <c r="AL485" s="32">
        <f t="shared" si="452"/>
        <v>1.54909901577654</v>
      </c>
      <c r="AM485" s="32" t="str">
        <f t="shared" si="432"/>
        <v>1-7,60503975621249i</v>
      </c>
      <c r="AN485" s="32">
        <f t="shared" si="453"/>
        <v>7.67050387481634</v>
      </c>
      <c r="AO485" s="32">
        <f t="shared" si="454"/>
        <v>-1.44005464333525</v>
      </c>
      <c r="AP485" s="30" t="str">
        <f t="shared" si="455"/>
        <v>5,10060695013312-46,4161630588903i</v>
      </c>
      <c r="AQ485" s="32">
        <f t="shared" si="456"/>
        <v>33.3855138741226</v>
      </c>
      <c r="AR485" s="31">
        <f t="shared" si="457"/>
        <v>-83.729008304</v>
      </c>
      <c r="AS485" t="str">
        <f t="shared" si="433"/>
        <v>-0,000100699300699301</v>
      </c>
      <c r="AT485" t="str">
        <f t="shared" si="434"/>
        <v>0,660363317691926i</v>
      </c>
      <c r="AU485">
        <f t="shared" si="458"/>
        <v>0.660363317691926</v>
      </c>
      <c r="AV485">
        <f t="shared" si="459"/>
        <v>1.5707963267949</v>
      </c>
      <c r="AW485" t="str">
        <f t="shared" si="435"/>
        <v>1+33,8093906395023i</v>
      </c>
      <c r="AX485">
        <f t="shared" si="460"/>
        <v>33.8241761971296</v>
      </c>
      <c r="AY485">
        <f t="shared" si="461"/>
        <v>1.5412273661317</v>
      </c>
      <c r="AZ485" t="str">
        <f t="shared" si="436"/>
        <v>1+1616,37661206301i</v>
      </c>
      <c r="BA485">
        <f t="shared" si="462"/>
        <v>1616.37692139683</v>
      </c>
      <c r="BB485">
        <f t="shared" si="463"/>
        <v>1.5701776591744</v>
      </c>
      <c r="BC485" s="30" t="str">
        <f t="shared" si="464"/>
        <v>-0,000210936251591055+0,00728411688478683i</v>
      </c>
      <c r="BD485" s="32">
        <f t="shared" si="465"/>
        <v>-42.7488214628934</v>
      </c>
      <c r="BE485" s="31">
        <f t="shared" si="466"/>
        <v>91.6587296070135</v>
      </c>
      <c r="BF485" s="30" t="str">
        <f t="shared" si="467"/>
        <v>-0,000446385186062422-0,0196452170567732i</v>
      </c>
      <c r="BG485" s="68">
        <f t="shared" si="468"/>
        <v>-34.1326216643816</v>
      </c>
      <c r="BH485" s="31">
        <f t="shared" si="469"/>
        <v>-91.3016698579712</v>
      </c>
      <c r="BI485" s="30" t="str">
        <f t="shared" si="423"/>
        <v>0,337024854153381+0,0469442686570072i</v>
      </c>
      <c r="BJ485" s="68">
        <f t="shared" si="470"/>
        <v>-9.36330758877085</v>
      </c>
      <c r="BK485" s="31">
        <f t="shared" si="424"/>
        <v>7.92972130301348</v>
      </c>
      <c r="BL485" s="32">
        <f t="shared" si="471"/>
        <v>-34.1326216643816</v>
      </c>
      <c r="BM485" s="31">
        <f t="shared" si="472"/>
        <v>-91.3016698579712</v>
      </c>
      <c r="BO485">
        <f t="shared" si="473"/>
        <v>0</v>
      </c>
      <c r="BP485">
        <f t="shared" si="474"/>
        <v>0</v>
      </c>
    </row>
    <row r="486" spans="14:68">
      <c r="N486" s="7">
        <v>68</v>
      </c>
      <c r="O486" s="18">
        <f t="shared" si="475"/>
        <v>478630.092322639</v>
      </c>
      <c r="P486" s="86" t="str">
        <f t="shared" si="425"/>
        <v>60</v>
      </c>
      <c r="Q486" s="4" t="str">
        <f t="shared" si="426"/>
        <v>1+3929,56684317666i</v>
      </c>
      <c r="R486" s="4">
        <f t="shared" si="437"/>
        <v>3929.56697041715</v>
      </c>
      <c r="S486" s="4">
        <f t="shared" si="438"/>
        <v>1.57054184582579</v>
      </c>
      <c r="T486" s="4" t="str">
        <f t="shared" si="427"/>
        <v>1+47,15480211812i</v>
      </c>
      <c r="U486" s="4">
        <f t="shared" si="439"/>
        <v>47.1654043001759</v>
      </c>
      <c r="V486" s="4">
        <f t="shared" si="440"/>
        <v>1.54959275713057</v>
      </c>
      <c r="W486" t="str">
        <f t="shared" si="428"/>
        <v>1-65,7851592049665i</v>
      </c>
      <c r="X486" s="4">
        <f t="shared" si="441"/>
        <v>65.7927592643962</v>
      </c>
      <c r="Y486" s="4">
        <f t="shared" si="442"/>
        <v>-1.55559650058294</v>
      </c>
      <c r="Z486" t="str">
        <f t="shared" si="429"/>
        <v>-0,87009604307574+17,5529381062348i</v>
      </c>
      <c r="AA486" s="4">
        <f t="shared" si="443"/>
        <v>17.5744901287487</v>
      </c>
      <c r="AB486" s="4">
        <f t="shared" si="444"/>
        <v>1.62032560955282</v>
      </c>
      <c r="AC486" s="67" t="str">
        <f t="shared" si="445"/>
        <v>-2,69191662588674+0,148956989403138i</v>
      </c>
      <c r="AD486" s="68">
        <f t="shared" si="446"/>
        <v>8.61450967251807</v>
      </c>
      <c r="AE486" s="31">
        <f t="shared" si="447"/>
        <v>176.832772660057</v>
      </c>
      <c r="AF486" s="32" t="str">
        <f t="shared" si="448"/>
        <v>326,048966736478</v>
      </c>
      <c r="AG486" s="32" t="str">
        <f t="shared" si="430"/>
        <v>1+2526,15011347071i</v>
      </c>
      <c r="AH486" s="32">
        <f t="shared" si="449"/>
        <v>2526.15031140035</v>
      </c>
      <c r="AI486" s="32">
        <f t="shared" si="450"/>
        <v>1.57040046752176</v>
      </c>
      <c r="AJ486" s="32" t="str">
        <f t="shared" si="431"/>
        <v>1+47,15480211812i</v>
      </c>
      <c r="AK486" s="32">
        <f t="shared" si="451"/>
        <v>47.1654043001759</v>
      </c>
      <c r="AL486" s="32">
        <f t="shared" si="452"/>
        <v>1.54959275713057</v>
      </c>
      <c r="AM486" s="32" t="str">
        <f t="shared" si="432"/>
        <v>1-7,78218388854875i</v>
      </c>
      <c r="AN486" s="32">
        <f t="shared" si="453"/>
        <v>7.84617015334155</v>
      </c>
      <c r="AO486" s="32">
        <f t="shared" si="454"/>
        <v>-1.44299801959596</v>
      </c>
      <c r="AP486" s="30" t="str">
        <f t="shared" si="455"/>
        <v>5,1006045798466-47,4913466872016i</v>
      </c>
      <c r="AQ486" s="32">
        <f t="shared" si="456"/>
        <v>33.5820984684897</v>
      </c>
      <c r="AR486" s="31">
        <f t="shared" si="457"/>
        <v>-83.8698903553301</v>
      </c>
      <c r="AS486" t="str">
        <f t="shared" si="433"/>
        <v>-0,000100699300699301</v>
      </c>
      <c r="AT486" t="str">
        <f t="shared" si="434"/>
        <v>0,675745155353417i</v>
      </c>
      <c r="AU486">
        <f t="shared" si="458"/>
        <v>0.675745155353417</v>
      </c>
      <c r="AV486">
        <f t="shared" si="459"/>
        <v>1.5707963267949</v>
      </c>
      <c r="AW486" t="str">
        <f t="shared" si="435"/>
        <v>1+34,5969125146852i</v>
      </c>
      <c r="AX486">
        <f t="shared" si="460"/>
        <v>34.6113616540693</v>
      </c>
      <c r="AY486">
        <f t="shared" si="461"/>
        <v>1.54190005887944</v>
      </c>
      <c r="AZ486" t="str">
        <f t="shared" si="436"/>
        <v>1+1654,02686001058i</v>
      </c>
      <c r="BA486">
        <f t="shared" si="462"/>
        <v>1654.0271623031</v>
      </c>
      <c r="BB486">
        <f t="shared" si="463"/>
        <v>1.57019174176527</v>
      </c>
      <c r="BC486" s="30" t="str">
        <f t="shared" si="464"/>
        <v>-0,000201450481367843+0,0071185843212812i</v>
      </c>
      <c r="BD486" s="32">
        <f t="shared" si="465"/>
        <v>-42.9486506847668</v>
      </c>
      <c r="BE486" s="31">
        <f t="shared" si="466"/>
        <v>91.6209940246807</v>
      </c>
      <c r="BF486" s="30" t="str">
        <f t="shared" si="467"/>
        <v>-0,000518074989223444-0,0191926429444519i</v>
      </c>
      <c r="BG486" s="68">
        <f t="shared" si="468"/>
        <v>-34.3341410122488</v>
      </c>
      <c r="BH486" s="31">
        <f t="shared" si="469"/>
        <v>-91.5462333152626</v>
      </c>
      <c r="BI486" s="30" t="str">
        <f t="shared" si="423"/>
        <v>0,337043636676166+0,045876238442095i</v>
      </c>
      <c r="BJ486" s="68">
        <f t="shared" si="470"/>
        <v>-9.36655221627711</v>
      </c>
      <c r="BK486" s="31">
        <f t="shared" si="424"/>
        <v>7.7511036693506</v>
      </c>
      <c r="BL486" s="32">
        <f t="shared" si="471"/>
        <v>-34.3341410122488</v>
      </c>
      <c r="BM486" s="31">
        <f t="shared" si="472"/>
        <v>-91.5462333152626</v>
      </c>
      <c r="BO486">
        <f t="shared" si="473"/>
        <v>0</v>
      </c>
      <c r="BP486">
        <f t="shared" si="474"/>
        <v>0</v>
      </c>
    </row>
    <row r="487" spans="14:68">
      <c r="N487" s="7">
        <v>69</v>
      </c>
      <c r="O487" s="18">
        <f t="shared" si="475"/>
        <v>489778.819368447</v>
      </c>
      <c r="P487" s="86" t="str">
        <f t="shared" si="425"/>
        <v>60</v>
      </c>
      <c r="Q487" s="4" t="str">
        <f t="shared" si="426"/>
        <v>1+4021,09821332149i</v>
      </c>
      <c r="R487" s="4">
        <f t="shared" si="437"/>
        <v>4021.09833766563</v>
      </c>
      <c r="S487" s="4">
        <f t="shared" si="438"/>
        <v>1.57054763851962</v>
      </c>
      <c r="T487" s="4" t="str">
        <f t="shared" si="427"/>
        <v>1+48,2531785598579i</v>
      </c>
      <c r="U487" s="4">
        <f t="shared" si="439"/>
        <v>48.2635394591977</v>
      </c>
      <c r="V487" s="4">
        <f t="shared" si="440"/>
        <v>1.55007526955045</v>
      </c>
      <c r="W487" t="str">
        <f t="shared" si="428"/>
        <v>1-67,3174924105161i</v>
      </c>
      <c r="X487" s="4">
        <f t="shared" si="441"/>
        <v>67.3249194907791</v>
      </c>
      <c r="Y487" s="4">
        <f t="shared" si="442"/>
        <v>-1.55594243938581</v>
      </c>
      <c r="Z487" t="str">
        <f t="shared" si="429"/>
        <v>-0,95823095430164+17,9617985580479i</v>
      </c>
      <c r="AA487" s="4">
        <f t="shared" si="443"/>
        <v>17.9873403815482</v>
      </c>
      <c r="AB487" s="4">
        <f t="shared" si="444"/>
        <v>1.62409407681493</v>
      </c>
      <c r="AC487" s="67" t="str">
        <f t="shared" si="445"/>
        <v>-2,69079389133828+0,158715118410879i</v>
      </c>
      <c r="AD487" s="68">
        <f t="shared" si="446"/>
        <v>8.61269228347418</v>
      </c>
      <c r="AE487" s="31">
        <f t="shared" si="447"/>
        <v>176.624348585644</v>
      </c>
      <c r="AF487" s="32" t="str">
        <f t="shared" si="448"/>
        <v>326,048966736478</v>
      </c>
      <c r="AG487" s="32" t="str">
        <f t="shared" si="430"/>
        <v>1+2584,99170856382i</v>
      </c>
      <c r="AH487" s="32">
        <f t="shared" si="449"/>
        <v>2584.99190198803</v>
      </c>
      <c r="AI487" s="32">
        <f t="shared" si="450"/>
        <v>1.57040947837801</v>
      </c>
      <c r="AJ487" s="32" t="str">
        <f t="shared" si="431"/>
        <v>1+48,2531785598579i</v>
      </c>
      <c r="AK487" s="32">
        <f t="shared" si="451"/>
        <v>48.2635394591977</v>
      </c>
      <c r="AL487" s="32">
        <f t="shared" si="452"/>
        <v>1.55007526955045</v>
      </c>
      <c r="AM487" s="32" t="str">
        <f t="shared" si="432"/>
        <v>1-7,96345423779214i</v>
      </c>
      <c r="AN487" s="32">
        <f t="shared" si="453"/>
        <v>8.02599547703645</v>
      </c>
      <c r="AO487" s="32">
        <f t="shared" si="454"/>
        <v>-1.44587654945331</v>
      </c>
      <c r="AP487" s="30" t="str">
        <f t="shared" si="455"/>
        <v>5,10060231624052-48,5917108560643i</v>
      </c>
      <c r="AQ487" s="32">
        <f t="shared" si="456"/>
        <v>33.7788344037199</v>
      </c>
      <c r="AR487" s="31">
        <f t="shared" si="457"/>
        <v>-84.00768832617</v>
      </c>
      <c r="AS487" t="str">
        <f t="shared" si="433"/>
        <v>-0,000100699300699301</v>
      </c>
      <c r="AT487" t="str">
        <f t="shared" si="434"/>
        <v>0,691485282040821i</v>
      </c>
      <c r="AU487">
        <f t="shared" si="458"/>
        <v>0.691485282040821</v>
      </c>
      <c r="AV487">
        <f t="shared" si="459"/>
        <v>1.5707963267949</v>
      </c>
      <c r="AW487" t="str">
        <f t="shared" si="435"/>
        <v>1+35,4027781308277i</v>
      </c>
      <c r="AX487">
        <f t="shared" si="460"/>
        <v>35.4168985003008</v>
      </c>
      <c r="AY487">
        <f t="shared" si="461"/>
        <v>1.54255746454912</v>
      </c>
      <c r="AZ487" t="str">
        <f t="shared" si="436"/>
        <v>1+1692,55409489297i</v>
      </c>
      <c r="BA487">
        <f t="shared" si="462"/>
        <v>1692.55439030448</v>
      </c>
      <c r="BB487">
        <f t="shared" si="463"/>
        <v>1.57020550379748</v>
      </c>
      <c r="BC487" s="30" t="str">
        <f t="shared" si="464"/>
        <v>-0,000192390944375966+0,00695680145831i</v>
      </c>
      <c r="BD487" s="32">
        <f t="shared" si="465"/>
        <v>-43.1484875866474</v>
      </c>
      <c r="BE487" s="31">
        <f t="shared" si="466"/>
        <v>91.5841159607427</v>
      </c>
      <c r="BF487" s="30" t="str">
        <f t="shared" si="467"/>
        <v>-0,000586465189340995-0,0187498542187916i</v>
      </c>
      <c r="BG487" s="68">
        <f t="shared" si="468"/>
        <v>-34.5357953031732</v>
      </c>
      <c r="BH487" s="31">
        <f t="shared" si="469"/>
        <v>-91.7915354536138</v>
      </c>
      <c r="BI487" s="30" t="str">
        <f t="shared" si="423"/>
        <v>0,337061575248738+0,0448324827723235i</v>
      </c>
      <c r="BJ487" s="68">
        <f t="shared" si="470"/>
        <v>-9.36965318292748</v>
      </c>
      <c r="BK487" s="31">
        <f t="shared" si="424"/>
        <v>7.57642763457271</v>
      </c>
      <c r="BL487" s="32">
        <f t="shared" si="471"/>
        <v>-34.5357953031732</v>
      </c>
      <c r="BM487" s="31">
        <f t="shared" si="472"/>
        <v>-91.7915354536138</v>
      </c>
      <c r="BO487">
        <f t="shared" si="473"/>
        <v>0</v>
      </c>
      <c r="BP487">
        <f t="shared" si="474"/>
        <v>0</v>
      </c>
    </row>
    <row r="488" spans="14:68">
      <c r="N488" s="7">
        <v>70</v>
      </c>
      <c r="O488" s="18">
        <f t="shared" si="475"/>
        <v>501187.233627273</v>
      </c>
      <c r="P488" s="86" t="str">
        <f t="shared" si="425"/>
        <v>60</v>
      </c>
      <c r="Q488" s="4" t="str">
        <f t="shared" si="426"/>
        <v>1+4114,76162296454i</v>
      </c>
      <c r="R488" s="4">
        <f t="shared" si="437"/>
        <v>4114.76174447826</v>
      </c>
      <c r="S488" s="4">
        <f t="shared" si="438"/>
        <v>1.57055329935566</v>
      </c>
      <c r="T488" s="4" t="str">
        <f t="shared" si="427"/>
        <v>1+49,3771394755745i</v>
      </c>
      <c r="U488" s="4">
        <f t="shared" si="439"/>
        <v>49.387264580966</v>
      </c>
      <c r="V488" s="4">
        <f t="shared" si="440"/>
        <v>1.55054680797144</v>
      </c>
      <c r="W488" t="str">
        <f t="shared" si="428"/>
        <v>1-68,8855182415938i</v>
      </c>
      <c r="X488" s="4">
        <f t="shared" si="441"/>
        <v>68.8927762788883</v>
      </c>
      <c r="Y488" s="4">
        <f t="shared" si="442"/>
        <v>-1.55628050709581</v>
      </c>
      <c r="Z488" t="str">
        <f t="shared" si="429"/>
        <v>-1,0505195359262+18,380182593209i</v>
      </c>
      <c r="AA488" s="4">
        <f t="shared" si="443"/>
        <v>18.4101793433705</v>
      </c>
      <c r="AB488" s="4">
        <f t="shared" si="444"/>
        <v>1.62788922336446</v>
      </c>
      <c r="AC488" s="67" t="str">
        <f t="shared" si="445"/>
        <v>-2,68959036118771+0,16854426536913i</v>
      </c>
      <c r="AD488" s="68">
        <f t="shared" si="446"/>
        <v>8.61074393447937</v>
      </c>
      <c r="AE488" s="31">
        <f t="shared" si="447"/>
        <v>176.414225672137</v>
      </c>
      <c r="AF488" s="32" t="str">
        <f t="shared" si="448"/>
        <v>326,048966736478</v>
      </c>
      <c r="AG488" s="32" t="str">
        <f t="shared" si="430"/>
        <v>1+2645,2039004772i</v>
      </c>
      <c r="AH488" s="32">
        <f t="shared" si="449"/>
        <v>2645.20408949854</v>
      </c>
      <c r="AI488" s="32">
        <f t="shared" si="450"/>
        <v>1.5704182841222</v>
      </c>
      <c r="AJ488" s="32" t="str">
        <f t="shared" si="431"/>
        <v>1+49,3771394755745i</v>
      </c>
      <c r="AK488" s="32">
        <f t="shared" si="451"/>
        <v>49.387264580966</v>
      </c>
      <c r="AL488" s="32">
        <f t="shared" si="452"/>
        <v>1.55054680797144</v>
      </c>
      <c r="AM488" s="32" t="str">
        <f t="shared" si="432"/>
        <v>1-8,14894691588116i</v>
      </c>
      <c r="AN488" s="32">
        <f t="shared" si="453"/>
        <v>8.21007526383584</v>
      </c>
      <c r="AO488" s="32">
        <f t="shared" si="454"/>
        <v>-1.44869156822975</v>
      </c>
      <c r="AP488" s="30" t="str">
        <f t="shared" si="455"/>
        <v>5,1006001545135-49,7178389931314i</v>
      </c>
      <c r="AQ488" s="32">
        <f t="shared" si="456"/>
        <v>33.9757150743911</v>
      </c>
      <c r="AR488" s="31">
        <f t="shared" si="457"/>
        <v>-84.1424643918867</v>
      </c>
      <c r="AS488" t="str">
        <f t="shared" si="433"/>
        <v>-0,000100699300699301</v>
      </c>
      <c r="AT488" t="str">
        <f t="shared" si="434"/>
        <v>0,707592043377653i</v>
      </c>
      <c r="AU488">
        <f t="shared" si="458"/>
        <v>0.707592043377653</v>
      </c>
      <c r="AV488">
        <f t="shared" si="459"/>
        <v>1.5707963267949</v>
      </c>
      <c r="AW488" t="str">
        <f t="shared" si="435"/>
        <v>1+36,2274147685463i</v>
      </c>
      <c r="AX488">
        <f t="shared" si="460"/>
        <v>36.2412138429756</v>
      </c>
      <c r="AY488">
        <f t="shared" si="461"/>
        <v>1.54319992943168</v>
      </c>
      <c r="AZ488" t="str">
        <f t="shared" si="436"/>
        <v>1+1731,97874436007i</v>
      </c>
      <c r="BA488">
        <f t="shared" si="462"/>
        <v>1731.97903304719</v>
      </c>
      <c r="BB488">
        <f t="shared" si="463"/>
        <v>1.5702189525678</v>
      </c>
      <c r="BC488" s="30" t="str">
        <f t="shared" si="464"/>
        <v>-0,000183738518195228+0,00679868416028384i</v>
      </c>
      <c r="BD488" s="32">
        <f t="shared" si="465"/>
        <v>-43.3483318234295</v>
      </c>
      <c r="BE488" s="31">
        <f t="shared" si="466"/>
        <v>91.5480759922659</v>
      </c>
      <c r="BF488" s="30" t="str">
        <f t="shared" si="467"/>
        <v>-0,000651697879754983-0,0183166434598282i</v>
      </c>
      <c r="BG488" s="68">
        <f t="shared" si="468"/>
        <v>-34.7375878889501</v>
      </c>
      <c r="BH488" s="31">
        <f t="shared" si="469"/>
        <v>-92.0376983355974</v>
      </c>
      <c r="BI488" s="30" t="str">
        <f t="shared" si="423"/>
        <v>0,337078707731848+0,0438124515428991i</v>
      </c>
      <c r="BJ488" s="68">
        <f t="shared" si="470"/>
        <v>-9.37261674903835</v>
      </c>
      <c r="BK488" s="31">
        <f t="shared" si="424"/>
        <v>7.40561160037913</v>
      </c>
      <c r="BL488" s="32">
        <f t="shared" si="471"/>
        <v>-34.7375878889501</v>
      </c>
      <c r="BM488" s="31">
        <f t="shared" si="472"/>
        <v>-92.0376983355974</v>
      </c>
      <c r="BO488">
        <f t="shared" si="473"/>
        <v>0</v>
      </c>
      <c r="BP488">
        <f t="shared" si="474"/>
        <v>0</v>
      </c>
    </row>
    <row r="489" spans="14:68">
      <c r="N489" s="7">
        <v>71</v>
      </c>
      <c r="O489" s="18">
        <f t="shared" si="475"/>
        <v>512861.383991365</v>
      </c>
      <c r="P489" s="86" t="str">
        <f t="shared" si="425"/>
        <v>60</v>
      </c>
      <c r="Q489" s="4" t="str">
        <f t="shared" si="426"/>
        <v>1+4210,60673368539i</v>
      </c>
      <c r="R489" s="4">
        <f t="shared" si="437"/>
        <v>4210.60685243312</v>
      </c>
      <c r="S489" s="4">
        <f t="shared" si="438"/>
        <v>1.57055883133535</v>
      </c>
      <c r="T489" s="4" t="str">
        <f t="shared" si="427"/>
        <v>1+50,5272808042247i</v>
      </c>
      <c r="U489" s="4">
        <f t="shared" si="439"/>
        <v>50.5371754797295</v>
      </c>
      <c r="V489" s="4">
        <f t="shared" si="440"/>
        <v>1.55100762157019</v>
      </c>
      <c r="W489" t="str">
        <f t="shared" si="428"/>
        <v>1-70,490068086251i</v>
      </c>
      <c r="X489" s="4">
        <f t="shared" si="441"/>
        <v>70.4971609272622</v>
      </c>
      <c r="Y489" s="4">
        <f t="shared" si="442"/>
        <v>-1.55661088265164</v>
      </c>
      <c r="Z489" t="str">
        <f t="shared" si="429"/>
        <v>-1,14715754440439+18,8083120444714i</v>
      </c>
      <c r="AA489" s="4">
        <f t="shared" si="443"/>
        <v>18.8432633159411</v>
      </c>
      <c r="AB489" s="4">
        <f t="shared" si="444"/>
        <v>1.63171291629651</v>
      </c>
      <c r="AC489" s="67" t="str">
        <f t="shared" si="445"/>
        <v>-2,68830370188183+0,178448506171274i</v>
      </c>
      <c r="AD489" s="68">
        <f t="shared" si="446"/>
        <v>8.60866066816261</v>
      </c>
      <c r="AE489" s="31">
        <f t="shared" si="447"/>
        <v>176.202300795235</v>
      </c>
      <c r="AF489" s="32" t="str">
        <f t="shared" si="448"/>
        <v>326,048966736478</v>
      </c>
      <c r="AG489" s="32" t="str">
        <f t="shared" si="430"/>
        <v>1+2706,81861451204i</v>
      </c>
      <c r="AH489" s="32">
        <f t="shared" si="449"/>
        <v>2706.81879923073</v>
      </c>
      <c r="AI489" s="32">
        <f t="shared" si="450"/>
        <v>1.57042688942324</v>
      </c>
      <c r="AJ489" s="32" t="str">
        <f t="shared" si="431"/>
        <v>1+50,5272808042247i</v>
      </c>
      <c r="AK489" s="32">
        <f t="shared" si="451"/>
        <v>50.5371754797295</v>
      </c>
      <c r="AL489" s="32">
        <f t="shared" si="452"/>
        <v>1.55100762157019</v>
      </c>
      <c r="AM489" s="32" t="str">
        <f t="shared" si="432"/>
        <v>1-8,33876027348905i</v>
      </c>
      <c r="AN489" s="32">
        <f t="shared" si="453"/>
        <v>8.39850718275094</v>
      </c>
      <c r="AO489" s="32">
        <f t="shared" si="454"/>
        <v>-1.45144438993293</v>
      </c>
      <c r="AP489" s="30" t="str">
        <f t="shared" si="455"/>
        <v>5,10059809008013-50,8703281864524i</v>
      </c>
      <c r="AQ489" s="32">
        <f t="shared" si="456"/>
        <v>34.1727341546488</v>
      </c>
      <c r="AR489" s="31">
        <f t="shared" si="457"/>
        <v>-84.274279830311</v>
      </c>
      <c r="AS489" t="str">
        <f t="shared" si="433"/>
        <v>-0,000100699300699301</v>
      </c>
      <c r="AT489" t="str">
        <f t="shared" si="434"/>
        <v>0,724073979381971i</v>
      </c>
      <c r="AU489">
        <f t="shared" si="458"/>
        <v>0.724073979381971</v>
      </c>
      <c r="AV489">
        <f t="shared" si="459"/>
        <v>1.5707963267949</v>
      </c>
      <c r="AW489" t="str">
        <f t="shared" si="435"/>
        <v>1+37,0712596611017i</v>
      </c>
      <c r="AX489">
        <f t="shared" si="460"/>
        <v>37.0847447457958</v>
      </c>
      <c r="AY489">
        <f t="shared" si="461"/>
        <v>1.54382779204781</v>
      </c>
      <c r="AZ489" t="str">
        <f t="shared" si="436"/>
        <v>1+1772,32171188288i</v>
      </c>
      <c r="BA489">
        <f t="shared" si="462"/>
        <v>1772.32199399868</v>
      </c>
      <c r="BB489">
        <f t="shared" si="463"/>
        <v>1.57023209520693</v>
      </c>
      <c r="BC489" s="30" t="str">
        <f t="shared" si="464"/>
        <v>-0,000175474935677312+0,00664415012570812i</v>
      </c>
      <c r="BD489" s="32">
        <f t="shared" si="465"/>
        <v>-43.5481830654913</v>
      </c>
      <c r="BE489" s="31">
        <f t="shared" si="466"/>
        <v>91.5128551320019</v>
      </c>
      <c r="BF489" s="30" t="str">
        <f t="shared" si="467"/>
        <v>-0,000713908745541502-0,0178928066189419i</v>
      </c>
      <c r="BG489" s="68">
        <f t="shared" si="468"/>
        <v>-34.9395223973287</v>
      </c>
      <c r="BH489" s="31">
        <f t="shared" si="469"/>
        <v>-92.2848440727629</v>
      </c>
      <c r="BI489" s="30" t="str">
        <f t="shared" si="423"/>
        <v>0,337095070293058+0,042815607007794i</v>
      </c>
      <c r="BJ489" s="68">
        <f t="shared" si="470"/>
        <v>-9.37544891084256</v>
      </c>
      <c r="BK489" s="31">
        <f t="shared" si="424"/>
        <v>7.23857530169091</v>
      </c>
      <c r="BL489" s="32">
        <f t="shared" si="471"/>
        <v>-34.9395223973287</v>
      </c>
      <c r="BM489" s="31">
        <f t="shared" si="472"/>
        <v>-92.2848440727629</v>
      </c>
      <c r="BO489">
        <f t="shared" si="473"/>
        <v>0</v>
      </c>
      <c r="BP489">
        <f t="shared" si="474"/>
        <v>0</v>
      </c>
    </row>
    <row r="490" spans="14:68">
      <c r="N490" s="7">
        <v>72</v>
      </c>
      <c r="O490" s="18">
        <f t="shared" si="475"/>
        <v>524807.460249773</v>
      </c>
      <c r="P490" s="86" t="str">
        <f t="shared" si="425"/>
        <v>60</v>
      </c>
      <c r="Q490" s="4" t="str">
        <f t="shared" si="426"/>
        <v>1+4308,68436383042i</v>
      </c>
      <c r="R490" s="4">
        <f t="shared" si="437"/>
        <v>4308.68447987512</v>
      </c>
      <c r="S490" s="4">
        <f t="shared" si="438"/>
        <v>1.57056423739182</v>
      </c>
      <c r="T490" s="4" t="str">
        <f t="shared" si="427"/>
        <v>1+51,7042123659651i</v>
      </c>
      <c r="U490" s="4">
        <f t="shared" si="439"/>
        <v>51.7138818537616</v>
      </c>
      <c r="V490" s="4">
        <f t="shared" si="440"/>
        <v>1.55145795389291</v>
      </c>
      <c r="W490" t="str">
        <f t="shared" si="428"/>
        <v>1-72,131992698054i</v>
      </c>
      <c r="X490" s="4">
        <f t="shared" si="441"/>
        <v>72.1389241019861</v>
      </c>
      <c r="Y490" s="4">
        <f t="shared" si="442"/>
        <v>-1.55693374093415</v>
      </c>
      <c r="Z490" t="str">
        <f t="shared" si="429"/>
        <v>-1,24834996190872+19,2464139117374i</v>
      </c>
      <c r="AA490" s="4">
        <f t="shared" si="443"/>
        <v>19.2868563039526</v>
      </c>
      <c r="AB490" s="4">
        <f t="shared" si="444"/>
        <v>1.63556702996555</v>
      </c>
      <c r="AC490" s="67" t="str">
        <f t="shared" si="445"/>
        <v>-2,68693142630804+0,188431893234617i</v>
      </c>
      <c r="AD490" s="68">
        <f t="shared" si="446"/>
        <v>8.60643825971379</v>
      </c>
      <c r="AE490" s="31">
        <f t="shared" si="447"/>
        <v>175.988470328518</v>
      </c>
      <c r="AF490" s="32" t="str">
        <f t="shared" si="448"/>
        <v>326,048966736478</v>
      </c>
      <c r="AG490" s="32" t="str">
        <f t="shared" si="430"/>
        <v>1+2769,86851960527i</v>
      </c>
      <c r="AH490" s="32">
        <f t="shared" si="449"/>
        <v>2769.86870011925</v>
      </c>
      <c r="AI490" s="32">
        <f t="shared" si="450"/>
        <v>1.57043529884376</v>
      </c>
      <c r="AJ490" s="32" t="str">
        <f t="shared" si="431"/>
        <v>1+51,7042123659651i</v>
      </c>
      <c r="AK490" s="32">
        <f t="shared" si="451"/>
        <v>51.7138818537616</v>
      </c>
      <c r="AL490" s="32">
        <f t="shared" si="452"/>
        <v>1.55145795389291</v>
      </c>
      <c r="AM490" s="32" t="str">
        <f t="shared" si="432"/>
        <v>1-8,5329949521705i</v>
      </c>
      <c r="AN490" s="32">
        <f t="shared" si="453"/>
        <v>8.59139120595537</v>
      </c>
      <c r="AO490" s="32">
        <f t="shared" si="454"/>
        <v>-1.45413630716815</v>
      </c>
      <c r="AP490" s="30" t="str">
        <f t="shared" si="455"/>
        <v>5,10059611856162-52,049789501058i</v>
      </c>
      <c r="AQ490" s="32">
        <f t="shared" si="456"/>
        <v>34.3698855871318</v>
      </c>
      <c r="AR490" s="31">
        <f t="shared" si="457"/>
        <v>-84.4031950095215</v>
      </c>
      <c r="AS490" t="str">
        <f t="shared" si="433"/>
        <v>-0,000100699300699301</v>
      </c>
      <c r="AT490" t="str">
        <f t="shared" si="434"/>
        <v>0,74093982899441i</v>
      </c>
      <c r="AU490">
        <f t="shared" si="458"/>
        <v>0.74093982899441</v>
      </c>
      <c r="AV490">
        <f t="shared" si="459"/>
        <v>1.5707963267949</v>
      </c>
      <c r="AW490" t="str">
        <f t="shared" si="435"/>
        <v>1+37,9347602262256i</v>
      </c>
      <c r="AX490">
        <f t="shared" si="460"/>
        <v>37.9479384607547</v>
      </c>
      <c r="AY490">
        <f t="shared" si="461"/>
        <v>1.54444138331735</v>
      </c>
      <c r="AZ490" t="str">
        <f t="shared" si="436"/>
        <v>1+1813,60438783678i</v>
      </c>
      <c r="BA490">
        <f t="shared" si="462"/>
        <v>1813.60466353084</v>
      </c>
      <c r="BB490">
        <f t="shared" si="463"/>
        <v>1.57024493868326</v>
      </c>
      <c r="BC490" s="30" t="str">
        <f t="shared" si="464"/>
        <v>-0,00016758274692429+0,00649311885081941i</v>
      </c>
      <c r="BD490" s="32">
        <f t="shared" si="465"/>
        <v>-43.7480409980025</v>
      </c>
      <c r="BE490" s="31">
        <f t="shared" si="466"/>
        <v>91.4784348188989</v>
      </c>
      <c r="BF490" s="30" t="str">
        <f t="shared" si="467"/>
        <v>-0,00077322732883938-0,0174781430292962i</v>
      </c>
      <c r="BG490" s="68">
        <f t="shared" si="468"/>
        <v>-35.1416027382887</v>
      </c>
      <c r="BH490" s="31">
        <f t="shared" si="469"/>
        <v>-92.5330948525833</v>
      </c>
      <c r="BI490" s="30" t="str">
        <f t="shared" si="423"/>
        <v>0,337110697482002+0,0418414235092671i</v>
      </c>
      <c r="BJ490" s="68">
        <f t="shared" si="470"/>
        <v>-9.37815541087074</v>
      </c>
      <c r="BK490" s="31">
        <f t="shared" si="424"/>
        <v>7.07523980937745</v>
      </c>
      <c r="BL490" s="32">
        <f t="shared" si="471"/>
        <v>-35.1416027382887</v>
      </c>
      <c r="BM490" s="31">
        <f t="shared" si="472"/>
        <v>-92.5330948525833</v>
      </c>
      <c r="BO490">
        <f t="shared" si="473"/>
        <v>0</v>
      </c>
      <c r="BP490">
        <f t="shared" si="474"/>
        <v>0</v>
      </c>
    </row>
    <row r="491" spans="14:68">
      <c r="N491" s="7">
        <v>73</v>
      </c>
      <c r="O491" s="18">
        <f t="shared" si="475"/>
        <v>537031.796370254</v>
      </c>
      <c r="P491" s="86" t="str">
        <f t="shared" si="425"/>
        <v>60</v>
      </c>
      <c r="Q491" s="4" t="str">
        <f t="shared" si="426"/>
        <v>1+4409,04651545734i</v>
      </c>
      <c r="R491" s="4">
        <f t="shared" si="437"/>
        <v>4409.04662886054</v>
      </c>
      <c r="S491" s="4">
        <f t="shared" si="438"/>
        <v>1.57056952039144</v>
      </c>
      <c r="T491" s="4" t="str">
        <f t="shared" si="427"/>
        <v>1+52,9085581854881i</v>
      </c>
      <c r="U491" s="4">
        <f t="shared" si="439"/>
        <v>52.9180076086315</v>
      </c>
      <c r="V491" s="4">
        <f t="shared" si="440"/>
        <v>1.55189804298072</v>
      </c>
      <c r="W491" t="str">
        <f t="shared" si="428"/>
        <v>1-73,8121626471653i</v>
      </c>
      <c r="X491" s="4">
        <f t="shared" si="441"/>
        <v>73.8189362877276</v>
      </c>
      <c r="Y491" s="4">
        <f t="shared" si="442"/>
        <v>-1.55724925285767</v>
      </c>
      <c r="Z491" t="str">
        <f t="shared" si="429"/>
        <v>-1,35431143112378+19,6947204824157i</v>
      </c>
      <c r="AA491" s="4">
        <f t="shared" si="443"/>
        <v>19.7412303145715</v>
      </c>
      <c r="AB491" s="4">
        <f t="shared" si="444"/>
        <v>1.63945344629402</v>
      </c>
      <c r="AC491" s="67" t="str">
        <f t="shared" si="445"/>
        <v>-2,68547089043984+0,198498452525247i</v>
      </c>
      <c r="AD491" s="68">
        <f t="shared" si="446"/>
        <v>8.60407220949775</v>
      </c>
      <c r="AE491" s="31">
        <f t="shared" si="447"/>
        <v>175.772630127621</v>
      </c>
      <c r="AF491" s="32" t="str">
        <f t="shared" si="448"/>
        <v>326,048966736478</v>
      </c>
      <c r="AG491" s="32" t="str">
        <f t="shared" si="430"/>
        <v>1+2834,38704565115i</v>
      </c>
      <c r="AH491" s="32">
        <f t="shared" si="449"/>
        <v>2834.38722205613</v>
      </c>
      <c r="AI491" s="32">
        <f t="shared" si="450"/>
        <v>1.57044351684255</v>
      </c>
      <c r="AJ491" s="32" t="str">
        <f t="shared" si="431"/>
        <v>1+52,9085581854881i</v>
      </c>
      <c r="AK491" s="32">
        <f t="shared" si="451"/>
        <v>52.9180076086315</v>
      </c>
      <c r="AL491" s="32">
        <f t="shared" si="452"/>
        <v>1.55189804298072</v>
      </c>
      <c r="AM491" s="32" t="str">
        <f t="shared" si="432"/>
        <v>1-8,73175393772314i</v>
      </c>
      <c r="AN491" s="32">
        <f t="shared" si="453"/>
        <v>8.78882966207353</v>
      </c>
      <c r="AO491" s="32">
        <f t="shared" si="454"/>
        <v>-1.45676859108749</v>
      </c>
      <c r="AP491" s="30" t="str">
        <f t="shared" si="455"/>
        <v>5,10059423577598-53,2568483029529i</v>
      </c>
      <c r="AQ491" s="32">
        <f t="shared" si="456"/>
        <v>34.5671635722701</v>
      </c>
      <c r="AR491" s="31">
        <f t="shared" si="457"/>
        <v>-84.5292693778856</v>
      </c>
      <c r="AS491" t="str">
        <f t="shared" si="433"/>
        <v>-0,000100699300699301</v>
      </c>
      <c r="AT491" t="str">
        <f t="shared" si="434"/>
        <v>0,758198534711681i</v>
      </c>
      <c r="AU491">
        <f t="shared" si="458"/>
        <v>0.758198534711681</v>
      </c>
      <c r="AV491">
        <f t="shared" si="459"/>
        <v>1.5707963267949</v>
      </c>
      <c r="AW491" t="str">
        <f t="shared" si="435"/>
        <v>1+38,8183743033474i</v>
      </c>
      <c r="AX491">
        <f t="shared" si="460"/>
        <v>38.8312526652796</v>
      </c>
      <c r="AY491">
        <f t="shared" si="461"/>
        <v>1.54504102672537</v>
      </c>
      <c r="AZ491" t="str">
        <f t="shared" si="436"/>
        <v>1+1855,84866084301i</v>
      </c>
      <c r="BA491">
        <f t="shared" si="462"/>
        <v>1855.84893026151</v>
      </c>
      <c r="BB491">
        <f t="shared" si="463"/>
        <v>1.57025748980656</v>
      </c>
      <c r="BC491" s="30" t="str">
        <f t="shared" si="464"/>
        <v>-0,000160045282936998+0,00634551159369304i</v>
      </c>
      <c r="BD491" s="32">
        <f t="shared" si="465"/>
        <v>-43.9479053202617</v>
      </c>
      <c r="BE491" s="31">
        <f t="shared" si="466"/>
        <v>91.4447969087998</v>
      </c>
      <c r="BF491" s="30" t="str">
        <f t="shared" si="467"/>
        <v>-0,000829777283349566-0,0170724554108081i</v>
      </c>
      <c r="BG491" s="68">
        <f t="shared" si="468"/>
        <v>-35.343833110764</v>
      </c>
      <c r="BH491" s="31">
        <f t="shared" si="469"/>
        <v>-92.7825729635789</v>
      </c>
      <c r="BI491" s="30" t="str">
        <f t="shared" si="423"/>
        <v>0,337125622302328+0,0408893872128193i</v>
      </c>
      <c r="BJ491" s="68">
        <f t="shared" si="470"/>
        <v>-9.38074174799162</v>
      </c>
      <c r="BK491" s="31">
        <f t="shared" si="424"/>
        <v>6.91552753091426</v>
      </c>
      <c r="BL491" s="32">
        <f t="shared" si="471"/>
        <v>-35.343833110764</v>
      </c>
      <c r="BM491" s="31">
        <f t="shared" si="472"/>
        <v>-92.7825729635789</v>
      </c>
      <c r="BO491">
        <f t="shared" si="473"/>
        <v>0</v>
      </c>
      <c r="BP491">
        <f t="shared" si="474"/>
        <v>0</v>
      </c>
    </row>
    <row r="492" spans="14:68">
      <c r="N492" s="7">
        <v>74</v>
      </c>
      <c r="O492" s="18">
        <f t="shared" si="475"/>
        <v>549540.873857626</v>
      </c>
      <c r="P492" s="86" t="str">
        <f t="shared" si="425"/>
        <v>60</v>
      </c>
      <c r="Q492" s="4" t="str">
        <f t="shared" si="426"/>
        <v>1+4511,74640190737i</v>
      </c>
      <c r="R492" s="4">
        <f t="shared" si="437"/>
        <v>4511.7465127292</v>
      </c>
      <c r="S492" s="4">
        <f t="shared" si="438"/>
        <v>1.57057468313531</v>
      </c>
      <c r="T492" s="4" t="str">
        <f t="shared" si="427"/>
        <v>1+54,1409568228886i</v>
      </c>
      <c r="U492" s="4">
        <f t="shared" si="439"/>
        <v>54.1501911880086</v>
      </c>
      <c r="V492" s="4">
        <f t="shared" si="440"/>
        <v>1.55232812149239</v>
      </c>
      <c r="W492" t="str">
        <f t="shared" si="428"/>
        <v>1-75,5314687819316i</v>
      </c>
      <c r="X492" s="4">
        <f t="shared" si="441"/>
        <v>75.5380882492793</v>
      </c>
      <c r="Y492" s="4">
        <f t="shared" si="442"/>
        <v>-1.55755758545941</v>
      </c>
      <c r="Z492" t="str">
        <f t="shared" si="429"/>
        <v>-1,46526671053228+20,1534694545842i</v>
      </c>
      <c r="AA492" s="4">
        <f t="shared" si="443"/>
        <v>20.2066656722442</v>
      </c>
      <c r="AB492" s="4">
        <f t="shared" si="444"/>
        <v>1.64337405504925</v>
      </c>
      <c r="AC492" s="67" t="str">
        <f t="shared" si="445"/>
        <v>-2,68391928983942+0,208652180309791i</v>
      </c>
      <c r="AD492" s="68">
        <f t="shared" si="446"/>
        <v>8.60155773524709</v>
      </c>
      <c r="AE492" s="31">
        <f t="shared" si="447"/>
        <v>175.554675516202</v>
      </c>
      <c r="AF492" s="32" t="str">
        <f t="shared" si="448"/>
        <v>326,048966736478</v>
      </c>
      <c r="AG492" s="32" t="str">
        <f t="shared" si="430"/>
        <v>1+2900,40840122617i</v>
      </c>
      <c r="AH492" s="32">
        <f t="shared" si="449"/>
        <v>2900.40857361568</v>
      </c>
      <c r="AI492" s="32">
        <f t="shared" si="450"/>
        <v>1.5704515477769</v>
      </c>
      <c r="AJ492" s="32" t="str">
        <f t="shared" si="431"/>
        <v>1+54,1409568228886i</v>
      </c>
      <c r="AK492" s="32">
        <f t="shared" si="451"/>
        <v>54.1501911880086</v>
      </c>
      <c r="AL492" s="32">
        <f t="shared" si="452"/>
        <v>1.55232812149239</v>
      </c>
      <c r="AM492" s="32" t="str">
        <f t="shared" si="432"/>
        <v>1-8,93514261479198i</v>
      </c>
      <c r="AN492" s="32">
        <f t="shared" si="453"/>
        <v>8.99092729070098</v>
      </c>
      <c r="AO492" s="32">
        <f t="shared" si="454"/>
        <v>-1.45934249137292</v>
      </c>
      <c r="AP492" s="30" t="str">
        <f t="shared" si="455"/>
        <v>5,10059243772967-54,4921445906965i</v>
      </c>
      <c r="AQ492" s="32">
        <f t="shared" si="456"/>
        <v>34.7645625579492</v>
      </c>
      <c r="AR492" s="31">
        <f t="shared" si="457"/>
        <v>-84.6525614561933</v>
      </c>
      <c r="AS492" t="str">
        <f t="shared" si="433"/>
        <v>-0,000100699300699301</v>
      </c>
      <c r="AT492" t="str">
        <f t="shared" si="434"/>
        <v>0,775859247328i</v>
      </c>
      <c r="AU492">
        <f t="shared" si="458"/>
        <v>0.775859247328</v>
      </c>
      <c r="AV492">
        <f t="shared" si="459"/>
        <v>1.5707963267949</v>
      </c>
      <c r="AW492" t="str">
        <f t="shared" si="435"/>
        <v>1+39,7225703963467i</v>
      </c>
      <c r="AX492">
        <f t="shared" si="460"/>
        <v>39.7351557049009</v>
      </c>
      <c r="AY492">
        <f t="shared" si="461"/>
        <v>1.54562703848481</v>
      </c>
      <c r="AZ492" t="str">
        <f t="shared" si="436"/>
        <v>1+1899,07692937428i</v>
      </c>
      <c r="BA492">
        <f t="shared" si="462"/>
        <v>1899.07719266007</v>
      </c>
      <c r="BB492">
        <f t="shared" si="463"/>
        <v>1.57026975523157</v>
      </c>
      <c r="BC492" s="30" t="str">
        <f t="shared" si="464"/>
        <v>-0,000152846620861742+0,00620125133883427i</v>
      </c>
      <c r="BD492" s="32">
        <f t="shared" si="465"/>
        <v>-44.1477757450647</v>
      </c>
      <c r="BE492" s="31">
        <f t="shared" si="466"/>
        <v>91.4119236653258</v>
      </c>
      <c r="BF492" s="30" t="str">
        <f t="shared" si="467"/>
        <v>-0,000883676618379179-0,0166755498701356i</v>
      </c>
      <c r="BG492" s="68">
        <f t="shared" si="468"/>
        <v>-35.5462180098176</v>
      </c>
      <c r="BH492" s="31">
        <f t="shared" si="469"/>
        <v>-93.0334008184719</v>
      </c>
      <c r="BI492" s="30" t="str">
        <f t="shared" si="423"/>
        <v>0,337139876280507+0,0399589958475165i</v>
      </c>
      <c r="BJ492" s="68">
        <f t="shared" si="470"/>
        <v>-9.38321318711546</v>
      </c>
      <c r="BK492" s="31">
        <f t="shared" si="424"/>
        <v>6.75936220913257</v>
      </c>
      <c r="BL492" s="32">
        <f t="shared" si="471"/>
        <v>-35.5462180098176</v>
      </c>
      <c r="BM492" s="31">
        <f t="shared" si="472"/>
        <v>-93.0334008184719</v>
      </c>
      <c r="BO492">
        <f t="shared" si="473"/>
        <v>0</v>
      </c>
      <c r="BP492">
        <f t="shared" si="474"/>
        <v>0</v>
      </c>
    </row>
    <row r="493" spans="14:68">
      <c r="N493" s="7">
        <v>75</v>
      </c>
      <c r="O493" s="18">
        <f t="shared" si="475"/>
        <v>562341.32519035</v>
      </c>
      <c r="P493" s="86" t="str">
        <f t="shared" si="425"/>
        <v>60</v>
      </c>
      <c r="Q493" s="4" t="str">
        <f t="shared" si="426"/>
        <v>1+4616,83847601971i</v>
      </c>
      <c r="R493" s="4">
        <f t="shared" si="437"/>
        <v>4616.83858431893</v>
      </c>
      <c r="S493" s="4">
        <f t="shared" si="438"/>
        <v>1.5705797283608</v>
      </c>
      <c r="T493" s="4" t="str">
        <f t="shared" si="427"/>
        <v>1+55,4020617122365i</v>
      </c>
      <c r="U493" s="4">
        <f t="shared" si="439"/>
        <v>55.4110859121752</v>
      </c>
      <c r="V493" s="4">
        <f t="shared" si="440"/>
        <v>1.55274841682449</v>
      </c>
      <c r="W493" t="str">
        <f t="shared" si="428"/>
        <v>1-77,2908227012228i</v>
      </c>
      <c r="X493" s="4">
        <f t="shared" si="441"/>
        <v>77.2972915038545</v>
      </c>
      <c r="Y493" s="4">
        <f t="shared" si="442"/>
        <v>-1.55785890198675</v>
      </c>
      <c r="Z493" t="str">
        <f t="shared" si="429"/>
        <v>-1,58145115115788+20,6229040630202i</v>
      </c>
      <c r="AA493" s="4">
        <f t="shared" si="443"/>
        <v>20.6834513497152</v>
      </c>
      <c r="AB493" s="4">
        <f t="shared" si="444"/>
        <v>1.64733075408591</v>
      </c>
      <c r="AC493" s="67" t="str">
        <f t="shared" si="445"/>
        <v>-2,68227365602491+0,218897039614734i</v>
      </c>
      <c r="AD493" s="68">
        <f t="shared" si="446"/>
        <v>8.59888976382982</v>
      </c>
      <c r="AE493" s="31">
        <f t="shared" si="447"/>
        <v>175.334501273835</v>
      </c>
      <c r="AF493" s="32" t="str">
        <f t="shared" si="448"/>
        <v>326,048966736478</v>
      </c>
      <c r="AG493" s="32" t="str">
        <f t="shared" si="430"/>
        <v>1+2967,96759172696i</v>
      </c>
      <c r="AH493" s="32">
        <f t="shared" si="449"/>
        <v>2967.96776019241</v>
      </c>
      <c r="AI493" s="32">
        <f t="shared" si="450"/>
        <v>1.5704593959049</v>
      </c>
      <c r="AJ493" s="32" t="str">
        <f t="shared" si="431"/>
        <v>1+55,4020617122365i</v>
      </c>
      <c r="AK493" s="32">
        <f t="shared" si="451"/>
        <v>55.4110859121752</v>
      </c>
      <c r="AL493" s="32">
        <f t="shared" si="452"/>
        <v>1.55274841682449</v>
      </c>
      <c r="AM493" s="32" t="str">
        <f t="shared" si="432"/>
        <v>1-9,14326882274573i</v>
      </c>
      <c r="AN493" s="32">
        <f t="shared" si="453"/>
        <v>9.19779129818643</v>
      </c>
      <c r="AO493" s="32">
        <f t="shared" si="454"/>
        <v>-1.46185923625063</v>
      </c>
      <c r="AP493" s="30" t="str">
        <f t="shared" si="455"/>
        <v>5,10059072060872-55,7563333347341i</v>
      </c>
      <c r="AQ493" s="32">
        <f t="shared" si="456"/>
        <v>34.9620772295319</v>
      </c>
      <c r="AR493" s="31">
        <f t="shared" si="457"/>
        <v>-84.7731288317311</v>
      </c>
      <c r="AS493" t="str">
        <f t="shared" si="433"/>
        <v>-0,000100699300699301</v>
      </c>
      <c r="AT493" t="str">
        <f t="shared" si="434"/>
        <v>0,793931330786962i</v>
      </c>
      <c r="AU493">
        <f t="shared" si="458"/>
        <v>0.793931330786962</v>
      </c>
      <c r="AV493">
        <f t="shared" si="459"/>
        <v>1.5707963267949</v>
      </c>
      <c r="AW493" t="str">
        <f t="shared" si="435"/>
        <v>1+40,6478279219604i</v>
      </c>
      <c r="AX493">
        <f t="shared" si="460"/>
        <v>40.6601268415791</v>
      </c>
      <c r="AY493">
        <f t="shared" si="461"/>
        <v>1.54619972769602</v>
      </c>
      <c r="AZ493" t="str">
        <f t="shared" si="436"/>
        <v>1+1943,31211363074i</v>
      </c>
      <c r="BA493">
        <f t="shared" si="462"/>
        <v>1943.31237092341</v>
      </c>
      <c r="BB493">
        <f t="shared" si="463"/>
        <v>1.57028174146158</v>
      </c>
      <c r="BC493" s="30" t="str">
        <f t="shared" si="464"/>
        <v>-0,000145971550766691+0,00606026276226414i</v>
      </c>
      <c r="BD493" s="32">
        <f t="shared" si="465"/>
        <v>-44.3476519981001</v>
      </c>
      <c r="BE493" s="31">
        <f t="shared" si="466"/>
        <v>91.3797977509427</v>
      </c>
      <c r="BF493" s="30" t="str">
        <f t="shared" si="467"/>
        <v>-0,000935037932796433-0,0162872358961407i</v>
      </c>
      <c r="BG493" s="68">
        <f t="shared" si="468"/>
        <v>-35.7487622342703</v>
      </c>
      <c r="BH493" s="31">
        <f t="shared" si="469"/>
        <v>-93.2857009752223</v>
      </c>
      <c r="BI493" s="30" t="str">
        <f t="shared" si="423"/>
        <v>0,337153489531562+0,0390497584515907i</v>
      </c>
      <c r="BJ493" s="68">
        <f t="shared" si="470"/>
        <v>-9.38557476856823</v>
      </c>
      <c r="BK493" s="31">
        <f t="shared" si="424"/>
        <v>6.60666891921158</v>
      </c>
      <c r="BL493" s="32">
        <f t="shared" si="471"/>
        <v>-35.7487622342703</v>
      </c>
      <c r="BM493" s="31">
        <f t="shared" si="472"/>
        <v>-93.2857009752223</v>
      </c>
      <c r="BO493">
        <f t="shared" si="473"/>
        <v>0</v>
      </c>
      <c r="BP493">
        <f t="shared" si="474"/>
        <v>0</v>
      </c>
    </row>
    <row r="494" spans="14:68">
      <c r="N494" s="7">
        <v>76</v>
      </c>
      <c r="O494" s="18">
        <f t="shared" si="475"/>
        <v>575439.937337157</v>
      </c>
      <c r="P494" s="86" t="str">
        <f t="shared" si="425"/>
        <v>60</v>
      </c>
      <c r="Q494" s="4" t="str">
        <f t="shared" si="426"/>
        <v>1+4724,37845900313i</v>
      </c>
      <c r="R494" s="4">
        <f t="shared" si="437"/>
        <v>4724.37856483716</v>
      </c>
      <c r="S494" s="4">
        <f t="shared" si="438"/>
        <v>1.57058465874295</v>
      </c>
      <c r="T494" s="4" t="str">
        <f t="shared" si="427"/>
        <v>1+56,6925415080376i</v>
      </c>
      <c r="U494" s="4">
        <f t="shared" si="439"/>
        <v>56.7013603244275</v>
      </c>
      <c r="V494" s="4">
        <f t="shared" si="440"/>
        <v>1.55315915122886</v>
      </c>
      <c r="W494" t="str">
        <f t="shared" si="428"/>
        <v>1-79,0911572377756i</v>
      </c>
      <c r="X494" s="4">
        <f t="shared" si="441"/>
        <v>79.0974788043876</v>
      </c>
      <c r="Y494" s="4">
        <f t="shared" si="442"/>
        <v>-1.55815336198271</v>
      </c>
      <c r="Z494" t="str">
        <f t="shared" si="429"/>
        <v>-1,70311119577628+21,1032732081669i</v>
      </c>
      <c r="AA494" s="4">
        <f t="shared" si="443"/>
        <v>21.1718853162328</v>
      </c>
      <c r="AB494" s="4">
        <f t="shared" si="444"/>
        <v>1.65132544955132</v>
      </c>
      <c r="AC494" s="67" t="str">
        <f t="shared" si="445"/>
        <v>-2,68053085271163+0,229236956373371i</v>
      </c>
      <c r="AD494" s="68">
        <f t="shared" si="446"/>
        <v>8.59606292259063</v>
      </c>
      <c r="AE494" s="31">
        <f t="shared" si="447"/>
        <v>175.112001626006</v>
      </c>
      <c r="AF494" s="32" t="str">
        <f t="shared" si="448"/>
        <v>326,048966736478</v>
      </c>
      <c r="AG494" s="32" t="str">
        <f t="shared" si="430"/>
        <v>1+3037,10043793058i</v>
      </c>
      <c r="AH494" s="32">
        <f t="shared" si="449"/>
        <v>3037.10060256128</v>
      </c>
      <c r="AI494" s="32">
        <f t="shared" si="450"/>
        <v>1.57046706538774</v>
      </c>
      <c r="AJ494" s="32" t="str">
        <f t="shared" si="431"/>
        <v>1+56,6925415080376i</v>
      </c>
      <c r="AK494" s="32">
        <f t="shared" si="451"/>
        <v>56.7013603244275</v>
      </c>
      <c r="AL494" s="32">
        <f t="shared" si="452"/>
        <v>1.55315915122886</v>
      </c>
      <c r="AM494" s="32" t="str">
        <f t="shared" si="432"/>
        <v>1-9,35624291285481i</v>
      </c>
      <c r="AN494" s="32">
        <f t="shared" si="453"/>
        <v>9.40953141470636</v>
      </c>
      <c r="AO494" s="32">
        <f t="shared" si="454"/>
        <v>-1.46432003253427</v>
      </c>
      <c r="AP494" s="30" t="str">
        <f t="shared" si="455"/>
        <v>5,10058908077095-57,050084824677i</v>
      </c>
      <c r="AQ494" s="32">
        <f t="shared" si="456"/>
        <v>35.1597025002326</v>
      </c>
      <c r="AR494" s="31">
        <f t="shared" si="457"/>
        <v>-84.8910281541518</v>
      </c>
      <c r="AS494" t="str">
        <f t="shared" si="433"/>
        <v>-0,000100699300699301</v>
      </c>
      <c r="AT494" t="str">
        <f t="shared" si="434"/>
        <v>0,81242436714643i</v>
      </c>
      <c r="AU494">
        <f t="shared" si="458"/>
        <v>0.81242436714643</v>
      </c>
      <c r="AV494">
        <f t="shared" si="459"/>
        <v>1.5707963267949</v>
      </c>
      <c r="AW494" t="str">
        <f t="shared" si="435"/>
        <v>1+41,5946374639761i</v>
      </c>
      <c r="AX494">
        <f t="shared" si="460"/>
        <v>41.6066565078186</v>
      </c>
      <c r="AY494">
        <f t="shared" si="461"/>
        <v>1.54675939650291</v>
      </c>
      <c r="AZ494" t="str">
        <f t="shared" si="436"/>
        <v>1+1988,57766769264i</v>
      </c>
      <c r="BA494">
        <f t="shared" si="462"/>
        <v>1988.57791912862</v>
      </c>
      <c r="BB494">
        <f t="shared" si="463"/>
        <v>1.57029345485182</v>
      </c>
      <c r="BC494" s="30" t="str">
        <f t="shared" si="464"/>
        <v>-0,000139405543882155+0,00592247219710984i</v>
      </c>
      <c r="BD494" s="32">
        <f t="shared" si="465"/>
        <v>-44.5475338173718</v>
      </c>
      <c r="BE494" s="31">
        <f t="shared" si="466"/>
        <v>91.3484022182073</v>
      </c>
      <c r="BF494" s="30" t="str">
        <f t="shared" si="467"/>
        <v>-0,00098396863925621-0,0159073263512609i</v>
      </c>
      <c r="BG494" s="68">
        <f t="shared" si="468"/>
        <v>-35.9514708947812</v>
      </c>
      <c r="BH494" s="31">
        <f t="shared" si="469"/>
        <v>-93.5395961557869</v>
      </c>
      <c r="BI494" s="30" t="str">
        <f t="shared" si="423"/>
        <v>0,337166490821983+0,0381611951232552i</v>
      </c>
      <c r="BJ494" s="68">
        <f t="shared" si="470"/>
        <v>-9.38783131713921</v>
      </c>
      <c r="BK494" s="31">
        <f t="shared" si="424"/>
        <v>6.45737406405551</v>
      </c>
      <c r="BL494" s="32">
        <f t="shared" si="471"/>
        <v>-35.9514708947812</v>
      </c>
      <c r="BM494" s="31">
        <f t="shared" si="472"/>
        <v>-93.5395961557869</v>
      </c>
      <c r="BO494">
        <f t="shared" si="473"/>
        <v>0</v>
      </c>
      <c r="BP494">
        <f t="shared" si="474"/>
        <v>0</v>
      </c>
    </row>
    <row r="495" spans="14:68">
      <c r="N495" s="7">
        <v>77</v>
      </c>
      <c r="O495" s="18">
        <f t="shared" si="475"/>
        <v>588843.655355589</v>
      </c>
      <c r="P495" s="86" t="str">
        <f t="shared" si="425"/>
        <v>60</v>
      </c>
      <c r="Q495" s="4" t="str">
        <f t="shared" si="426"/>
        <v>1+4834,42336998005i</v>
      </c>
      <c r="R495" s="4">
        <f t="shared" si="437"/>
        <v>4834.423473405</v>
      </c>
      <c r="S495" s="4">
        <f t="shared" si="438"/>
        <v>1.57058947689591</v>
      </c>
      <c r="T495" s="4" t="str">
        <f t="shared" si="427"/>
        <v>1+58,0130804397606i</v>
      </c>
      <c r="U495" s="4">
        <f t="shared" si="439"/>
        <v>58.0216985455453</v>
      </c>
      <c r="V495" s="4">
        <f t="shared" si="440"/>
        <v>1.55356054192766</v>
      </c>
      <c r="W495" t="str">
        <f t="shared" si="428"/>
        <v>1-80,933426952791i</v>
      </c>
      <c r="X495" s="4">
        <f t="shared" si="441"/>
        <v>80.9396046340897</v>
      </c>
      <c r="Y495" s="4">
        <f t="shared" si="442"/>
        <v>-1.55844112136952</v>
      </c>
      <c r="Z495" t="str">
        <f t="shared" si="429"/>
        <v>-1,83050490165334+21,5948315881033i</v>
      </c>
      <c r="AA495" s="4">
        <f t="shared" si="443"/>
        <v>21.6722749039763</v>
      </c>
      <c r="AB495" s="4">
        <f t="shared" si="444"/>
        <v>1.6553600560505</v>
      </c>
      <c r="AC495" s="67" t="str">
        <f t="shared" si="445"/>
        <v>-2,67868757193665+0,239675815239817i</v>
      </c>
      <c r="AD495" s="68">
        <f t="shared" si="446"/>
        <v>8.59307153026114</v>
      </c>
      <c r="AE495" s="31">
        <f t="shared" si="447"/>
        <v>174.887070236375</v>
      </c>
      <c r="AF495" s="32" t="str">
        <f t="shared" si="448"/>
        <v>326,048966736478</v>
      </c>
      <c r="AG495" s="32" t="str">
        <f t="shared" si="430"/>
        <v>1+3107,84359498718i</v>
      </c>
      <c r="AH495" s="32">
        <f t="shared" si="449"/>
        <v>3107.84375587043</v>
      </c>
      <c r="AI495" s="32">
        <f t="shared" si="450"/>
        <v>1.57047456029188</v>
      </c>
      <c r="AJ495" s="32" t="str">
        <f t="shared" si="431"/>
        <v>1+58,0130804397606i</v>
      </c>
      <c r="AK495" s="32">
        <f t="shared" si="451"/>
        <v>58.0216985455453</v>
      </c>
      <c r="AL495" s="32">
        <f t="shared" si="452"/>
        <v>1.55356054192766</v>
      </c>
      <c r="AM495" s="32" t="str">
        <f t="shared" si="432"/>
        <v>1-9,5741778068008i</v>
      </c>
      <c r="AN495" s="32">
        <f t="shared" si="453"/>
        <v>9.62625995266266</v>
      </c>
      <c r="AO495" s="32">
        <f t="shared" si="454"/>
        <v>-1.46672606569453</v>
      </c>
      <c r="AP495" s="30" t="str">
        <f t="shared" si="455"/>
        <v>5,10058751473801-58,3740850246917i</v>
      </c>
      <c r="AQ495" s="32">
        <f t="shared" si="456"/>
        <v>35.3574335018342</v>
      </c>
      <c r="AR495" s="31">
        <f t="shared" si="457"/>
        <v>-85.0063151330012</v>
      </c>
      <c r="AS495" t="str">
        <f t="shared" si="433"/>
        <v>-0,000100699300699301</v>
      </c>
      <c r="AT495" t="str">
        <f t="shared" si="434"/>
        <v>0,831348161659069i</v>
      </c>
      <c r="AU495">
        <f t="shared" si="458"/>
        <v>0.831348161659069</v>
      </c>
      <c r="AV495">
        <f t="shared" si="459"/>
        <v>1.5707963267949</v>
      </c>
      <c r="AW495" t="str">
        <f t="shared" si="435"/>
        <v>1+42,5635010333452i</v>
      </c>
      <c r="AX495">
        <f t="shared" si="460"/>
        <v>42.5752465667033</v>
      </c>
      <c r="AY495">
        <f t="shared" si="461"/>
        <v>1.54730634024606</v>
      </c>
      <c r="AZ495" t="str">
        <f t="shared" si="436"/>
        <v>1+2034,89759195589i</v>
      </c>
      <c r="BA495">
        <f t="shared" si="462"/>
        <v>2034.89783766849</v>
      </c>
      <c r="BB495">
        <f t="shared" si="463"/>
        <v>1.57030490161289</v>
      </c>
      <c r="BC495" s="30" t="str">
        <f t="shared" si="464"/>
        <v>-0,000133134722241584+0,00578780759970632i</v>
      </c>
      <c r="BD495" s="32">
        <f t="shared" si="465"/>
        <v>-44.7474209526477</v>
      </c>
      <c r="BE495" s="31">
        <f t="shared" si="466"/>
        <v>91.3177205011915</v>
      </c>
      <c r="BF495" s="30" t="str">
        <f t="shared" si="467"/>
        <v>-0,00103057117904905-0,0155356374591838i</v>
      </c>
      <c r="BG495" s="68">
        <f t="shared" si="468"/>
        <v>-36.1543494223865</v>
      </c>
      <c r="BH495" s="31">
        <f t="shared" si="469"/>
        <v>-93.7952092624337</v>
      </c>
      <c r="BI495" s="30" t="str">
        <f t="shared" si="423"/>
        <v>0,33717890762977+0,0372928367766368i</v>
      </c>
      <c r="BJ495" s="68">
        <f t="shared" si="470"/>
        <v>-9.38998745081348</v>
      </c>
      <c r="BK495" s="31">
        <f t="shared" si="424"/>
        <v>6.31140536819028</v>
      </c>
      <c r="BL495" s="32">
        <f t="shared" si="471"/>
        <v>-36.1543494223865</v>
      </c>
      <c r="BM495" s="31">
        <f t="shared" si="472"/>
        <v>-93.7952092624337</v>
      </c>
      <c r="BO495">
        <f t="shared" si="473"/>
        <v>0</v>
      </c>
      <c r="BP495">
        <f t="shared" si="474"/>
        <v>0</v>
      </c>
    </row>
    <row r="496" spans="14:68">
      <c r="N496" s="7">
        <v>78</v>
      </c>
      <c r="O496" s="18">
        <f t="shared" si="475"/>
        <v>602559.586074359</v>
      </c>
      <c r="P496" s="86" t="str">
        <f t="shared" si="425"/>
        <v>60</v>
      </c>
      <c r="Q496" s="4" t="str">
        <f t="shared" si="426"/>
        <v>1+4947,0315562189i</v>
      </c>
      <c r="R496" s="4">
        <f t="shared" si="437"/>
        <v>4947.03165728961</v>
      </c>
      <c r="S496" s="4">
        <f t="shared" si="438"/>
        <v>1.57059418537433</v>
      </c>
      <c r="T496" s="4" t="str">
        <f t="shared" si="427"/>
        <v>1+59,3643786746269i</v>
      </c>
      <c r="U496" s="4">
        <f t="shared" si="439"/>
        <v>59.3728006365246</v>
      </c>
      <c r="V496" s="4">
        <f t="shared" si="440"/>
        <v>1.5539528012259</v>
      </c>
      <c r="W496" t="str">
        <f t="shared" si="428"/>
        <v>1-82,8186086420576i</v>
      </c>
      <c r="X496" s="4">
        <f t="shared" si="441"/>
        <v>82.8246457125311</v>
      </c>
      <c r="Y496" s="4">
        <f t="shared" si="442"/>
        <v>-1.55872233253027</v>
      </c>
      <c r="Z496" t="str">
        <f t="shared" si="429"/>
        <v>-1,96390248791923+22,0978398335893i</v>
      </c>
      <c r="AA496" s="4">
        <f t="shared" si="443"/>
        <v>22.1849371938038</v>
      </c>
      <c r="AB496" s="4">
        <f t="shared" si="444"/>
        <v>1.65943649676812</v>
      </c>
      <c r="AC496" s="67" t="str">
        <f t="shared" si="445"/>
        <v>-2,67674033007839+0,250217455048958i</v>
      </c>
      <c r="AD496" s="68">
        <f t="shared" si="446"/>
        <v>8.58990958743858</v>
      </c>
      <c r="AE496" s="31">
        <f t="shared" si="447"/>
        <v>174.65960020148</v>
      </c>
      <c r="AF496" s="32" t="str">
        <f t="shared" si="448"/>
        <v>326,048966736478</v>
      </c>
      <c r="AG496" s="32" t="str">
        <f t="shared" si="430"/>
        <v>1+3180,23457185501i</v>
      </c>
      <c r="AH496" s="32">
        <f t="shared" si="449"/>
        <v>3180.23472907611</v>
      </c>
      <c r="AI496" s="32">
        <f t="shared" si="450"/>
        <v>1.5704818845912</v>
      </c>
      <c r="AJ496" s="32" t="str">
        <f t="shared" si="431"/>
        <v>1+59,3643786746269i</v>
      </c>
      <c r="AK496" s="32">
        <f t="shared" si="451"/>
        <v>59.3728006365246</v>
      </c>
      <c r="AL496" s="32">
        <f t="shared" si="452"/>
        <v>1.5539528012259</v>
      </c>
      <c r="AM496" s="32" t="str">
        <f t="shared" si="432"/>
        <v>1-9,7971890565492i</v>
      </c>
      <c r="AN496" s="32">
        <f t="shared" si="453"/>
        <v>9.84809186643623</v>
      </c>
      <c r="AO496" s="32">
        <f t="shared" si="454"/>
        <v>-1.46907849995315</v>
      </c>
      <c r="AP496" s="30" t="str">
        <f t="shared" si="455"/>
        <v>5,10058601918816-59,7290359372142i</v>
      </c>
      <c r="AQ496" s="32">
        <f t="shared" si="456"/>
        <v>35.5552655757414</v>
      </c>
      <c r="AR496" s="31">
        <f t="shared" si="457"/>
        <v>-85.1190445367771</v>
      </c>
      <c r="AS496" t="str">
        <f t="shared" si="433"/>
        <v>-0,000100699300699301</v>
      </c>
      <c r="AT496" t="str">
        <f t="shared" si="434"/>
        <v>0,850712747971214i</v>
      </c>
      <c r="AU496">
        <f t="shared" si="458"/>
        <v>0.850712747971214</v>
      </c>
      <c r="AV496">
        <f t="shared" si="459"/>
        <v>1.5707963267949</v>
      </c>
      <c r="AW496" t="str">
        <f t="shared" si="435"/>
        <v>1+43,5549323343569i</v>
      </c>
      <c r="AX496">
        <f t="shared" si="460"/>
        <v>43.5664105779947</v>
      </c>
      <c r="AY496">
        <f t="shared" si="461"/>
        <v>1.5478408476126</v>
      </c>
      <c r="AZ496" t="str">
        <f t="shared" si="436"/>
        <v>1+2082,29644585744i</v>
      </c>
      <c r="BA496">
        <f t="shared" si="462"/>
        <v>2082.29668597693</v>
      </c>
      <c r="BB496">
        <f t="shared" si="463"/>
        <v>1.57031608781398</v>
      </c>
      <c r="BC496" s="30" t="str">
        <f t="shared" si="464"/>
        <v>-0,000127145829662778+0,00565619851621608i</v>
      </c>
      <c r="BD496" s="32">
        <f t="shared" si="465"/>
        <v>-44.9473131649324</v>
      </c>
      <c r="BE496" s="31">
        <f t="shared" si="466"/>
        <v>91.2877364070817</v>
      </c>
      <c r="BF496" s="30" t="str">
        <f t="shared" si="467"/>
        <v>-0,00107494322791964-0,0151719887892034i</v>
      </c>
      <c r="BG496" s="68">
        <f t="shared" si="468"/>
        <v>-36.3574035774939</v>
      </c>
      <c r="BH496" s="31">
        <f t="shared" si="469"/>
        <v>-94.0526633914388</v>
      </c>
      <c r="BI496" s="30" t="str">
        <f t="shared" si="423"/>
        <v>0,337190766201912+0,0364442249027595i</v>
      </c>
      <c r="BJ496" s="68">
        <f t="shared" si="470"/>
        <v>-9.39204758919101</v>
      </c>
      <c r="BK496" s="31">
        <f t="shared" si="424"/>
        <v>6.16869187030453</v>
      </c>
      <c r="BL496" s="32">
        <f t="shared" si="471"/>
        <v>-36.3574035774939</v>
      </c>
      <c r="BM496" s="31">
        <f t="shared" si="472"/>
        <v>-94.0526633914388</v>
      </c>
      <c r="BO496">
        <f t="shared" si="473"/>
        <v>0</v>
      </c>
      <c r="BP496">
        <f t="shared" si="474"/>
        <v>0</v>
      </c>
    </row>
    <row r="497" spans="14:68">
      <c r="N497" s="7">
        <v>79</v>
      </c>
      <c r="O497" s="18">
        <f t="shared" si="475"/>
        <v>616595.001861483</v>
      </c>
      <c r="P497" s="86" t="str">
        <f t="shared" si="425"/>
        <v>60</v>
      </c>
      <c r="Q497" s="4" t="str">
        <f t="shared" si="426"/>
        <v>1+5062,26272407055i</v>
      </c>
      <c r="R497" s="4">
        <f t="shared" si="437"/>
        <v>5062.26282284061</v>
      </c>
      <c r="S497" s="4">
        <f t="shared" si="438"/>
        <v>1.5705987866747</v>
      </c>
      <c r="T497" s="4" t="str">
        <f t="shared" si="427"/>
        <v>1+60,7471526888466i</v>
      </c>
      <c r="U497" s="4">
        <f t="shared" si="439"/>
        <v>60.7553829697587</v>
      </c>
      <c r="V497" s="4">
        <f t="shared" si="440"/>
        <v>1.55433613662154</v>
      </c>
      <c r="W497" t="str">
        <f t="shared" si="428"/>
        <v>1-84,7477018538597i</v>
      </c>
      <c r="X497" s="4">
        <f t="shared" si="441"/>
        <v>84.7536015135091</v>
      </c>
      <c r="Y497" s="4">
        <f t="shared" si="442"/>
        <v>-1.55899714438884</v>
      </c>
      <c r="Z497" t="str">
        <f t="shared" si="429"/>
        <v>-2,1035869087393+22,6125646462544i</v>
      </c>
      <c r="AA497" s="4">
        <f t="shared" si="443"/>
        <v>22.7101994214858</v>
      </c>
      <c r="AB497" s="4">
        <f t="shared" si="444"/>
        <v>1.66355670354384</v>
      </c>
      <c r="AC497" s="67" t="str">
        <f t="shared" si="445"/>
        <v>-2,67468546378369+0,260865663900602i</v>
      </c>
      <c r="AD497" s="68">
        <f t="shared" si="446"/>
        <v>8.58657076663104</v>
      </c>
      <c r="AE497" s="31">
        <f t="shared" si="447"/>
        <v>174.42948404807</v>
      </c>
      <c r="AF497" s="32" t="str">
        <f t="shared" si="448"/>
        <v>326,048966736478</v>
      </c>
      <c r="AG497" s="32" t="str">
        <f t="shared" si="430"/>
        <v>1+3254,31175118821i</v>
      </c>
      <c r="AH497" s="32">
        <f t="shared" si="449"/>
        <v>3254.31190483052</v>
      </c>
      <c r="AI497" s="32">
        <f t="shared" si="450"/>
        <v>1.57048904216915</v>
      </c>
      <c r="AJ497" s="32" t="str">
        <f t="shared" si="431"/>
        <v>1+60,7471526888466i</v>
      </c>
      <c r="AK497" s="32">
        <f t="shared" si="451"/>
        <v>60.7553829697587</v>
      </c>
      <c r="AL497" s="32">
        <f t="shared" si="452"/>
        <v>1.55433613662154</v>
      </c>
      <c r="AM497" s="32" t="str">
        <f t="shared" si="432"/>
        <v>1-10,0253949056165i</v>
      </c>
      <c r="AN497" s="32">
        <f t="shared" si="453"/>
        <v>10.0751448135281</v>
      </c>
      <c r="AO497" s="32">
        <f t="shared" si="454"/>
        <v>-1.47137847839899</v>
      </c>
      <c r="AP497" s="30" t="str">
        <f t="shared" si="455"/>
        <v>5,10058459094913-61,1156559751554i</v>
      </c>
      <c r="AQ497" s="32">
        <f t="shared" si="456"/>
        <v>35.7531942643604</v>
      </c>
      <c r="AR497" s="31">
        <f t="shared" si="457"/>
        <v>-85.2292701933948</v>
      </c>
      <c r="AS497" t="str">
        <f t="shared" si="433"/>
        <v>-0,000100699300699301</v>
      </c>
      <c r="AT497" t="str">
        <f t="shared" si="434"/>
        <v>0,870528393442846i</v>
      </c>
      <c r="AU497">
        <f t="shared" si="458"/>
        <v>0.870528393442846</v>
      </c>
      <c r="AV497">
        <f t="shared" si="459"/>
        <v>1.5707963267949</v>
      </c>
      <c r="AW497" t="str">
        <f t="shared" si="435"/>
        <v>1+44,5694570370098i</v>
      </c>
      <c r="AX497">
        <f t="shared" si="460"/>
        <v>44.5806740704295</v>
      </c>
      <c r="AY497">
        <f t="shared" si="461"/>
        <v>1.54836320078305</v>
      </c>
      <c r="AZ497" t="str">
        <f t="shared" si="436"/>
        <v>1+2130,79936089704i</v>
      </c>
      <c r="BA497">
        <f t="shared" si="462"/>
        <v>2130.79959555075</v>
      </c>
      <c r="BB497">
        <f t="shared" si="463"/>
        <v>1.57032701938617</v>
      </c>
      <c r="BC497" s="30" t="str">
        <f t="shared" si="464"/>
        <v>-0,000121426204011286+0,00552757604977234i</v>
      </c>
      <c r="BD497" s="32">
        <f t="shared" si="465"/>
        <v>-45.1472102259639</v>
      </c>
      <c r="BE497" s="31">
        <f t="shared" si="466"/>
        <v>91.2584341079497</v>
      </c>
      <c r="BF497" s="30" t="str">
        <f t="shared" si="467"/>
        <v>-0,00111717789319351-0,0148162032376093i</v>
      </c>
      <c r="BG497" s="68">
        <f t="shared" si="468"/>
        <v>-36.5606394593328</v>
      </c>
      <c r="BH497" s="31">
        <f t="shared" si="469"/>
        <v>-94.3120818439804</v>
      </c>
      <c r="BI497" s="30" t="str">
        <f t="shared" si="423"/>
        <v>0,337202091609277+0,0356149113354911i</v>
      </c>
      <c r="BJ497" s="68">
        <f t="shared" si="470"/>
        <v>-9.39401596160347</v>
      </c>
      <c r="BK497" s="31">
        <f t="shared" si="424"/>
        <v>6.029163914555</v>
      </c>
      <c r="BL497" s="32">
        <f t="shared" si="471"/>
        <v>-36.5606394593328</v>
      </c>
      <c r="BM497" s="31">
        <f t="shared" si="472"/>
        <v>-94.3120818439804</v>
      </c>
      <c r="BO497">
        <f t="shared" si="473"/>
        <v>0</v>
      </c>
      <c r="BP497">
        <f t="shared" si="474"/>
        <v>0</v>
      </c>
    </row>
    <row r="498" spans="14:68">
      <c r="N498" s="7">
        <v>80</v>
      </c>
      <c r="O498" s="18">
        <f t="shared" si="475"/>
        <v>630957.344480194</v>
      </c>
      <c r="P498" s="86" t="str">
        <f t="shared" si="425"/>
        <v>60</v>
      </c>
      <c r="Q498" s="4" t="str">
        <f t="shared" si="426"/>
        <v>1+5180,17797062546i</v>
      </c>
      <c r="R498" s="4">
        <f t="shared" si="437"/>
        <v>5180.17806714724</v>
      </c>
      <c r="S498" s="4">
        <f t="shared" si="438"/>
        <v>1.57060328323669</v>
      </c>
      <c r="T498" s="4" t="str">
        <f t="shared" si="427"/>
        <v>1+62,1621356475056i</v>
      </c>
      <c r="U498" s="4">
        <f t="shared" si="439"/>
        <v>62.1701786088707</v>
      </c>
      <c r="V498" s="4">
        <f t="shared" si="440"/>
        <v>1.55471075091317</v>
      </c>
      <c r="W498" t="str">
        <f t="shared" si="428"/>
        <v>1-86,7217294189531i</v>
      </c>
      <c r="X498" s="4">
        <f t="shared" si="441"/>
        <v>86.7274947949848</v>
      </c>
      <c r="Y498" s="4">
        <f t="shared" si="442"/>
        <v>-1.55926570248799</v>
      </c>
      <c r="Z498" t="str">
        <f t="shared" si="429"/>
        <v>-2,24985445349795+23,1392789400076i</v>
      </c>
      <c r="AA498" s="4">
        <f t="shared" si="443"/>
        <v>23.2483994056667</v>
      </c>
      <c r="AB498" s="4">
        <f t="shared" si="444"/>
        <v>1.66772261689778</v>
      </c>
      <c r="AC498" s="67" t="str">
        <f t="shared" si="445"/>
        <v>-2,67251912581673+0,271624173845599i</v>
      </c>
      <c r="AD498" s="68">
        <f t="shared" si="446"/>
        <v>8.58304840186919</v>
      </c>
      <c r="AE498" s="31">
        <f t="shared" si="447"/>
        <v>174.196613733267</v>
      </c>
      <c r="AF498" s="32" t="str">
        <f t="shared" si="448"/>
        <v>326,048966736478</v>
      </c>
      <c r="AG498" s="32" t="str">
        <f t="shared" si="430"/>
        <v>1+3330,1144096878i</v>
      </c>
      <c r="AH498" s="32">
        <f t="shared" si="449"/>
        <v>3330.11455983279</v>
      </c>
      <c r="AI498" s="32">
        <f t="shared" si="450"/>
        <v>1.57049603682076</v>
      </c>
      <c r="AJ498" s="32" t="str">
        <f t="shared" si="431"/>
        <v>1+62,1621356475056i</v>
      </c>
      <c r="AK498" s="32">
        <f t="shared" si="451"/>
        <v>62.1701786088707</v>
      </c>
      <c r="AL498" s="32">
        <f t="shared" si="452"/>
        <v>1.55471075091317</v>
      </c>
      <c r="AM498" s="32" t="str">
        <f t="shared" si="432"/>
        <v>1-10,2589163517645i</v>
      </c>
      <c r="AN498" s="32">
        <f t="shared" si="453"/>
        <v>10.3075392171217</v>
      </c>
      <c r="AO498" s="32">
        <f t="shared" si="454"/>
        <v>-1.47362712312445</v>
      </c>
      <c r="AP498" s="30" t="str">
        <f t="shared" si="455"/>
        <v>5,10058322699142-62,5346803428157i</v>
      </c>
      <c r="AQ498" s="32">
        <f t="shared" si="456"/>
        <v>35.9512153027981</v>
      </c>
      <c r="AR498" s="31">
        <f t="shared" si="457"/>
        <v>-85.337044991949</v>
      </c>
      <c r="AS498" t="str">
        <f t="shared" si="433"/>
        <v>-0,000100699300699301</v>
      </c>
      <c r="AT498" t="str">
        <f t="shared" si="434"/>
        <v>0,890805604591487i</v>
      </c>
      <c r="AU498">
        <f t="shared" si="458"/>
        <v>0.890805604591487</v>
      </c>
      <c r="AV498">
        <f t="shared" si="459"/>
        <v>1.5707963267949</v>
      </c>
      <c r="AW498" t="str">
        <f t="shared" si="435"/>
        <v>1+45,6076130557302i</v>
      </c>
      <c r="AX498">
        <f t="shared" si="460"/>
        <v>45.6185748203647</v>
      </c>
      <c r="AY498">
        <f t="shared" si="461"/>
        <v>1.5488736755751</v>
      </c>
      <c r="AZ498" t="str">
        <f t="shared" si="436"/>
        <v>1+2180,43205396225i</v>
      </c>
      <c r="BA498">
        <f t="shared" si="462"/>
        <v>2180.43228327459</v>
      </c>
      <c r="BB498">
        <f t="shared" si="463"/>
        <v>1.5703377021255</v>
      </c>
      <c r="BC498" s="30" t="str">
        <f t="shared" si="464"/>
        <v>-0,000115963750690342+0,00540187282814838i</v>
      </c>
      <c r="BD498" s="32">
        <f t="shared" si="465"/>
        <v>-45.3471119177324</v>
      </c>
      <c r="BE498" s="31">
        <f t="shared" si="466"/>
        <v>91.2297981326945</v>
      </c>
      <c r="BF498" s="30" t="str">
        <f t="shared" si="467"/>
        <v>-0,00115736390254341-0,0144681070064336i</v>
      </c>
      <c r="BG498" s="68">
        <f t="shared" si="468"/>
        <v>-36.7640635158632</v>
      </c>
      <c r="BH498" s="31">
        <f t="shared" si="469"/>
        <v>-94.5735881340381</v>
      </c>
      <c r="BI498" s="30" t="str">
        <f t="shared" ref="BI498:BI560" si="476">IMPRODUCT(AP498,BC498)</f>
        <v>0,337212907799091+0,0348044580223688i</v>
      </c>
      <c r="BJ498" s="68">
        <f t="shared" si="470"/>
        <v>-9.39589661493429</v>
      </c>
      <c r="BK498" s="31">
        <f t="shared" ref="BK498:BK560" si="477">(180/PI())*IMARGUMENT(BI498)</f>
        <v>5.89275314074552</v>
      </c>
      <c r="BL498" s="32">
        <f t="shared" si="471"/>
        <v>-36.7640635158632</v>
      </c>
      <c r="BM498" s="31">
        <f t="shared" si="472"/>
        <v>-94.5735881340381</v>
      </c>
      <c r="BO498">
        <f t="shared" si="473"/>
        <v>0</v>
      </c>
      <c r="BP498">
        <f t="shared" si="474"/>
        <v>0</v>
      </c>
    </row>
    <row r="499" spans="14:68">
      <c r="N499" s="7">
        <v>81</v>
      </c>
      <c r="O499" s="18">
        <f t="shared" si="475"/>
        <v>645654.229034657</v>
      </c>
      <c r="P499" s="86" t="str">
        <f t="shared" si="425"/>
        <v>60</v>
      </c>
      <c r="Q499" s="4" t="str">
        <f t="shared" si="426"/>
        <v>1+5300,83981610819i</v>
      </c>
      <c r="R499" s="4">
        <f t="shared" si="437"/>
        <v>5300.83991043286</v>
      </c>
      <c r="S499" s="4">
        <f t="shared" si="438"/>
        <v>1.57060767744445</v>
      </c>
      <c r="T499" s="4" t="str">
        <f t="shared" si="427"/>
        <v>1+63,6100777932983i</v>
      </c>
      <c r="U499" s="4">
        <f t="shared" si="439"/>
        <v>63.6179376973937</v>
      </c>
      <c r="V499" s="4">
        <f t="shared" si="440"/>
        <v>1.55507684230543</v>
      </c>
      <c r="W499" t="str">
        <f t="shared" si="428"/>
        <v>1-88,7417379928826i</v>
      </c>
      <c r="X499" s="4">
        <f t="shared" si="441"/>
        <v>88.7473721413621</v>
      </c>
      <c r="Y499" s="4">
        <f t="shared" si="442"/>
        <v>-1.55952814906573</v>
      </c>
      <c r="Z499" t="str">
        <f t="shared" si="429"/>
        <v>-2,40301537526808+23,6782619857395i</v>
      </c>
      <c r="AA499" s="4">
        <f t="shared" si="443"/>
        <v>23.7998859988675</v>
      </c>
      <c r="AB499" s="4">
        <f t="shared" si="444"/>
        <v>1.67193618600261</v>
      </c>
      <c r="AC499" s="67" t="str">
        <f t="shared" si="445"/>
        <v>-2,67023728084544+0,282496655151066i</v>
      </c>
      <c r="AD499" s="68">
        <f t="shared" si="446"/>
        <v>8.57933547788421</v>
      </c>
      <c r="AE499" s="31">
        <f t="shared" si="447"/>
        <v>173.960880647756</v>
      </c>
      <c r="AF499" s="32" t="str">
        <f t="shared" si="448"/>
        <v>326,048966736478</v>
      </c>
      <c r="AG499" s="32" t="str">
        <f t="shared" si="430"/>
        <v>1+3407,68273892669i</v>
      </c>
      <c r="AH499" s="32">
        <f t="shared" si="449"/>
        <v>3407.68288565396</v>
      </c>
      <c r="AI499" s="32">
        <f t="shared" si="450"/>
        <v>1.5705028722547</v>
      </c>
      <c r="AJ499" s="32" t="str">
        <f t="shared" si="431"/>
        <v>1+63,6100777932983i</v>
      </c>
      <c r="AK499" s="32">
        <f t="shared" si="451"/>
        <v>63.6179376973937</v>
      </c>
      <c r="AL499" s="32">
        <f t="shared" si="452"/>
        <v>1.55507684230543</v>
      </c>
      <c r="AM499" s="32" t="str">
        <f t="shared" si="432"/>
        <v>1-10,4978772111551i</v>
      </c>
      <c r="AN499" s="32">
        <f t="shared" si="453"/>
        <v>10.5453983301007</v>
      </c>
      <c r="AO499" s="32">
        <f t="shared" si="454"/>
        <v>-1.47582553538035</v>
      </c>
      <c r="AP499" s="30" t="str">
        <f t="shared" si="455"/>
        <v>5,10058192442193-63,9868614257023i</v>
      </c>
      <c r="AQ499" s="32">
        <f t="shared" si="456"/>
        <v>36.1493246108713</v>
      </c>
      <c r="AR499" s="31">
        <f t="shared" si="457"/>
        <v>-85.4424208856644</v>
      </c>
      <c r="AS499" t="str">
        <f t="shared" si="433"/>
        <v>-0,000100699300699301</v>
      </c>
      <c r="AT499" t="str">
        <f t="shared" si="434"/>
        <v>0,91155513266289i</v>
      </c>
      <c r="AU499">
        <f t="shared" si="458"/>
        <v>0.91155513266289</v>
      </c>
      <c r="AV499">
        <f t="shared" si="459"/>
        <v>1.5707963267949</v>
      </c>
      <c r="AW499" t="str">
        <f t="shared" si="435"/>
        <v>1+46,6699508345811i</v>
      </c>
      <c r="AX499">
        <f t="shared" si="460"/>
        <v>46.6806631369159</v>
      </c>
      <c r="AY499">
        <f t="shared" si="461"/>
        <v>1.54937254158448</v>
      </c>
      <c r="AZ499" t="str">
        <f t="shared" si="436"/>
        <v>1+2231,2208409639i</v>
      </c>
      <c r="BA499">
        <f t="shared" si="462"/>
        <v>2231.22106505645</v>
      </c>
      <c r="BB499">
        <f t="shared" si="463"/>
        <v>1.5703481416961</v>
      </c>
      <c r="BC499" s="30" t="str">
        <f t="shared" si="464"/>
        <v>-0,000110746917304103+0,00527902297195662i</v>
      </c>
      <c r="BD499" s="32">
        <f t="shared" si="465"/>
        <v>-45.547018032021</v>
      </c>
      <c r="BE499" s="31">
        <f t="shared" si="466"/>
        <v>91.2018133591501</v>
      </c>
      <c r="BF499" s="30" t="str">
        <f t="shared" si="467"/>
        <v>-0,00119558578471926-0,0141275295798648i</v>
      </c>
      <c r="BG499" s="68">
        <f t="shared" si="468"/>
        <v>-36.9676825541368</v>
      </c>
      <c r="BH499" s="31">
        <f t="shared" si="469"/>
        <v>-94.8373059930943</v>
      </c>
      <c r="BI499" s="30" t="str">
        <f t="shared" si="476"/>
        <v>0,337223237645101+0,0340124368002314i</v>
      </c>
      <c r="BJ499" s="68">
        <f t="shared" si="470"/>
        <v>-9.39769342114971</v>
      </c>
      <c r="BK499" s="31">
        <f t="shared" si="477"/>
        <v>5.75939247348567</v>
      </c>
      <c r="BL499" s="32">
        <f t="shared" si="471"/>
        <v>-36.9676825541368</v>
      </c>
      <c r="BM499" s="31">
        <f t="shared" si="472"/>
        <v>-94.8373059930943</v>
      </c>
      <c r="BO499">
        <f t="shared" si="473"/>
        <v>0</v>
      </c>
      <c r="BP499">
        <f t="shared" si="474"/>
        <v>0</v>
      </c>
    </row>
    <row r="500" spans="14:68">
      <c r="N500" s="7">
        <v>82</v>
      </c>
      <c r="O500" s="18">
        <f t="shared" si="475"/>
        <v>660693.448007597</v>
      </c>
      <c r="P500" s="86" t="str">
        <f t="shared" si="425"/>
        <v>60</v>
      </c>
      <c r="Q500" s="4" t="str">
        <f t="shared" si="426"/>
        <v>1+5424,3122370263i</v>
      </c>
      <c r="R500" s="4">
        <f t="shared" si="437"/>
        <v>5424.31232920388</v>
      </c>
      <c r="S500" s="4">
        <f t="shared" si="438"/>
        <v>1.57061197162783</v>
      </c>
      <c r="T500" s="4" t="str">
        <f t="shared" si="427"/>
        <v>1+65,0917468443157i</v>
      </c>
      <c r="U500" s="4">
        <f t="shared" si="439"/>
        <v>65.0994278565064</v>
      </c>
      <c r="V500" s="4">
        <f t="shared" si="440"/>
        <v>1.55543460451209</v>
      </c>
      <c r="W500" t="str">
        <f t="shared" si="428"/>
        <v>1-90,8087986109314i</v>
      </c>
      <c r="X500" s="4">
        <f t="shared" si="441"/>
        <v>90.8143045184</v>
      </c>
      <c r="Y500" s="4">
        <f t="shared" si="442"/>
        <v>-1.55978462313002</v>
      </c>
      <c r="Z500" t="str">
        <f t="shared" si="429"/>
        <v>-2,56339454889933+24,2297995593949i</v>
      </c>
      <c r="AA500" s="4">
        <f t="shared" si="443"/>
        <v>24.3650195629263</v>
      </c>
      <c r="AB500" s="4">
        <f t="shared" si="444"/>
        <v>1.67619936859831</v>
      </c>
      <c r="AC500" s="67" t="str">
        <f t="shared" si="445"/>
        <v>-2,66783570118317+0,29348671012148i</v>
      </c>
      <c r="AD500" s="68">
        <f t="shared" si="446"/>
        <v>8.5754246188536</v>
      </c>
      <c r="AE500" s="31">
        <f t="shared" si="447"/>
        <v>173.722175622217</v>
      </c>
      <c r="AF500" s="32" t="str">
        <f t="shared" si="448"/>
        <v>326,048966736478</v>
      </c>
      <c r="AG500" s="32" t="str">
        <f t="shared" si="430"/>
        <v>1+3487,05786665977i</v>
      </c>
      <c r="AH500" s="32">
        <f t="shared" si="449"/>
        <v>3487.05801004712</v>
      </c>
      <c r="AI500" s="32">
        <f t="shared" si="450"/>
        <v>1.57050955209519</v>
      </c>
      <c r="AJ500" s="32" t="str">
        <f t="shared" si="431"/>
        <v>1+65,0917468443157i</v>
      </c>
      <c r="AK500" s="32">
        <f t="shared" si="451"/>
        <v>65.0994278565064</v>
      </c>
      <c r="AL500" s="32">
        <f t="shared" si="452"/>
        <v>1.55543460451209</v>
      </c>
      <c r="AM500" s="32" t="str">
        <f t="shared" si="432"/>
        <v>1-10,7424041839988i</v>
      </c>
      <c r="AN500" s="32">
        <f t="shared" si="453"/>
        <v>10.7888483005553</v>
      </c>
      <c r="AO500" s="32">
        <f t="shared" si="454"/>
        <v>-1.47797479574747</v>
      </c>
      <c r="AP500" s="30" t="str">
        <f t="shared" si="455"/>
        <v>5,10058068047768-65,4729691894478i</v>
      </c>
      <c r="AQ500" s="32">
        <f t="shared" si="456"/>
        <v>36.347518285417</v>
      </c>
      <c r="AR500" s="31">
        <f t="shared" si="457"/>
        <v>-85.5454488959327</v>
      </c>
      <c r="AS500" t="str">
        <f t="shared" si="433"/>
        <v>-0,000100699300699301</v>
      </c>
      <c r="AT500" t="str">
        <f t="shared" si="434"/>
        <v>0,932787979331488i</v>
      </c>
      <c r="AU500">
        <f t="shared" si="458"/>
        <v>0.932787979331488</v>
      </c>
      <c r="AV500">
        <f t="shared" si="459"/>
        <v>1.5707963267949</v>
      </c>
      <c r="AW500" t="str">
        <f t="shared" si="435"/>
        <v>1+47,757033639114i</v>
      </c>
      <c r="AX500">
        <f t="shared" si="460"/>
        <v>47.7675021537391</v>
      </c>
      <c r="AY500">
        <f t="shared" si="461"/>
        <v>1.54986006232275</v>
      </c>
      <c r="AZ500" t="str">
        <f t="shared" si="436"/>
        <v>1+2283,19265078913i</v>
      </c>
      <c r="BA500">
        <f t="shared" si="462"/>
        <v>2283.19286978071</v>
      </c>
      <c r="BB500">
        <f t="shared" si="463"/>
        <v>1.57035834363316</v>
      </c>
      <c r="BC500" s="30" t="str">
        <f t="shared" si="464"/>
        <v>-0,000105764669443074+0,00515896206337895i</v>
      </c>
      <c r="BD500" s="32">
        <f t="shared" si="465"/>
        <v>-45.7469283699663</v>
      </c>
      <c r="BE500" s="31">
        <f t="shared" si="466"/>
        <v>91.174465006358</v>
      </c>
      <c r="BF500" s="30" t="str">
        <f t="shared" si="467"/>
        <v>-0,00123192404255854-0,0137943036986139i</v>
      </c>
      <c r="BG500" s="68">
        <f t="shared" si="468"/>
        <v>-37.1715037511127</v>
      </c>
      <c r="BH500" s="31">
        <f t="shared" si="469"/>
        <v>-95.1033593714249</v>
      </c>
      <c r="BI500" s="30" t="str">
        <f t="shared" si="476"/>
        <v>0,337233102995502+0,0332384291755665i</v>
      </c>
      <c r="BJ500" s="68">
        <f t="shared" si="470"/>
        <v>-9.3994100845493</v>
      </c>
      <c r="BK500" s="31">
        <f t="shared" si="477"/>
        <v>5.6290161104253</v>
      </c>
      <c r="BL500" s="32">
        <f t="shared" si="471"/>
        <v>-37.1715037511127</v>
      </c>
      <c r="BM500" s="31">
        <f t="shared" si="472"/>
        <v>-95.1033593714249</v>
      </c>
      <c r="BO500">
        <f t="shared" si="473"/>
        <v>0</v>
      </c>
      <c r="BP500">
        <f t="shared" si="474"/>
        <v>0</v>
      </c>
    </row>
    <row r="501" spans="14:68">
      <c r="N501" s="7">
        <v>83</v>
      </c>
      <c r="O501" s="18">
        <f t="shared" si="475"/>
        <v>676082.975391983</v>
      </c>
      <c r="P501" s="86" t="str">
        <f t="shared" si="425"/>
        <v>60</v>
      </c>
      <c r="Q501" s="4" t="str">
        <f t="shared" si="426"/>
        <v>1+5550,66070009177i</v>
      </c>
      <c r="R501" s="4">
        <f t="shared" si="437"/>
        <v>5550.66079017114</v>
      </c>
      <c r="S501" s="4">
        <f t="shared" si="438"/>
        <v>1.57061616806367</v>
      </c>
      <c r="T501" s="4" t="str">
        <f t="shared" si="427"/>
        <v>1+66,6079284011013i</v>
      </c>
      <c r="U501" s="4">
        <f t="shared" si="439"/>
        <v>66.6154345920391</v>
      </c>
      <c r="V501" s="4">
        <f t="shared" si="440"/>
        <v>1.55578422685686</v>
      </c>
      <c r="W501" t="str">
        <f t="shared" si="428"/>
        <v>1-92,9240072560006i</v>
      </c>
      <c r="X501" s="4">
        <f t="shared" si="441"/>
        <v>92.9293878410552</v>
      </c>
      <c r="Y501" s="4">
        <f t="shared" si="442"/>
        <v>-1.56003526053174</v>
      </c>
      <c r="Z501" t="str">
        <f t="shared" si="429"/>
        <v>-2,73133216012148+24,7941840934962i</v>
      </c>
      <c r="AA501" s="4">
        <f t="shared" si="443"/>
        <v>24.9441724703606</v>
      </c>
      <c r="AB501" s="4">
        <f t="shared" si="444"/>
        <v>1.68051413084585</v>
      </c>
      <c r="AC501" s="67" t="str">
        <f t="shared" si="445"/>
        <v>-2,66530996250518+0,304597866451979i</v>
      </c>
      <c r="AD501" s="68">
        <f t="shared" si="446"/>
        <v>8.5713080767172</v>
      </c>
      <c r="AE501" s="31">
        <f t="shared" si="447"/>
        <v>173.48038893724</v>
      </c>
      <c r="AF501" s="32" t="str">
        <f t="shared" si="448"/>
        <v>326,048966736478</v>
      </c>
      <c r="AG501" s="32" t="str">
        <f t="shared" si="430"/>
        <v>1+3568,28187863042i</v>
      </c>
      <c r="AH501" s="32">
        <f t="shared" si="449"/>
        <v>3568.28201875388</v>
      </c>
      <c r="AI501" s="32">
        <f t="shared" si="450"/>
        <v>1.57051607988396</v>
      </c>
      <c r="AJ501" s="32" t="str">
        <f t="shared" si="431"/>
        <v>1+66,6079284011013i</v>
      </c>
      <c r="AK501" s="32">
        <f t="shared" si="451"/>
        <v>66.6154345920391</v>
      </c>
      <c r="AL501" s="32">
        <f t="shared" si="452"/>
        <v>1.55578422685686</v>
      </c>
      <c r="AM501" s="32" t="str">
        <f t="shared" si="432"/>
        <v>1-10,9926269217334i</v>
      </c>
      <c r="AN501" s="32">
        <f t="shared" si="453"/>
        <v>11.0380182388152</v>
      </c>
      <c r="AO501" s="32">
        <f t="shared" si="454"/>
        <v>-1.48007596432337</v>
      </c>
      <c r="AP501" s="30" t="str">
        <f t="shared" si="455"/>
        <v>5,10057949252017-66,9937915880628i</v>
      </c>
      <c r="AQ501" s="32">
        <f t="shared" si="456"/>
        <v>36.5457925928963</v>
      </c>
      <c r="AR501" s="31">
        <f t="shared" si="457"/>
        <v>-85.6461791173447</v>
      </c>
      <c r="AS501" t="str">
        <f t="shared" si="433"/>
        <v>-0,000100699300699301</v>
      </c>
      <c r="AT501" t="str">
        <f t="shared" si="434"/>
        <v>0,954515402533637i</v>
      </c>
      <c r="AU501">
        <f t="shared" si="458"/>
        <v>0.954515402533637</v>
      </c>
      <c r="AV501">
        <f t="shared" si="459"/>
        <v>1.5707963267949</v>
      </c>
      <c r="AW501" t="str">
        <f t="shared" si="435"/>
        <v>1+48,8694378550218i</v>
      </c>
      <c r="AX501">
        <f t="shared" si="460"/>
        <v>48.8796681276156</v>
      </c>
      <c r="AY501">
        <f t="shared" si="461"/>
        <v>1.55033649535237</v>
      </c>
      <c r="AZ501" t="str">
        <f t="shared" si="436"/>
        <v>1+2336,37503957944i</v>
      </c>
      <c r="BA501">
        <f t="shared" si="462"/>
        <v>2336.37525358617</v>
      </c>
      <c r="BB501">
        <f t="shared" si="463"/>
        <v>1.57036831334586</v>
      </c>
      <c r="BC501" s="30" t="str">
        <f t="shared" si="464"/>
        <v>-0,000101006467542819+0,005041627115428i</v>
      </c>
      <c r="BD501" s="32">
        <f t="shared" si="465"/>
        <v>-45.9468427416393</v>
      </c>
      <c r="BE501" s="31">
        <f t="shared" si="466"/>
        <v>91.1477386270014</v>
      </c>
      <c r="BF501" s="30" t="str">
        <f t="shared" si="467"/>
        <v>-0,00126645531858648-0,0134682653324979i</v>
      </c>
      <c r="BG501" s="68">
        <f t="shared" si="468"/>
        <v>-37.3755346649221</v>
      </c>
      <c r="BH501" s="31">
        <f t="shared" si="469"/>
        <v>-95.3718724357588</v>
      </c>
      <c r="BI501" s="30" t="str">
        <f t="shared" si="476"/>
        <v>0,337242524718749+0,0324820261094957i</v>
      </c>
      <c r="BJ501" s="68">
        <f t="shared" si="470"/>
        <v>-9.40105014874299</v>
      </c>
      <c r="BK501" s="31">
        <f t="shared" si="477"/>
        <v>5.50155950965664</v>
      </c>
      <c r="BL501" s="32">
        <f t="shared" si="471"/>
        <v>-37.3755346649221</v>
      </c>
      <c r="BM501" s="31">
        <f t="shared" si="472"/>
        <v>-95.3718724357588</v>
      </c>
      <c r="BO501">
        <f t="shared" si="473"/>
        <v>0</v>
      </c>
      <c r="BP501">
        <f t="shared" si="474"/>
        <v>0</v>
      </c>
    </row>
    <row r="502" spans="14:68">
      <c r="N502" s="7">
        <v>84</v>
      </c>
      <c r="O502" s="18">
        <f t="shared" si="475"/>
        <v>691830.970918937</v>
      </c>
      <c r="P502" s="86" t="str">
        <f t="shared" si="425"/>
        <v>60</v>
      </c>
      <c r="Q502" s="4" t="str">
        <f t="shared" si="426"/>
        <v>1+5679,95219693207i</v>
      </c>
      <c r="R502" s="4">
        <f t="shared" si="437"/>
        <v>5679.95228496098</v>
      </c>
      <c r="S502" s="4">
        <f t="shared" si="438"/>
        <v>1.57062026897698</v>
      </c>
      <c r="T502" s="4" t="str">
        <f t="shared" si="427"/>
        <v>1+68,159426363185i</v>
      </c>
      <c r="U502" s="4">
        <f t="shared" si="439"/>
        <v>68.1667617109573</v>
      </c>
      <c r="V502" s="4">
        <f t="shared" si="440"/>
        <v>1.55612589437204</v>
      </c>
      <c r="W502" t="str">
        <f t="shared" si="428"/>
        <v>1-95,0884854397111i</v>
      </c>
      <c r="X502" s="4">
        <f t="shared" si="441"/>
        <v>95.0937435545481</v>
      </c>
      <c r="Y502" s="4">
        <f t="shared" si="442"/>
        <v>-1.56028019403615</v>
      </c>
      <c r="Z502" t="str">
        <f t="shared" si="429"/>
        <v>-2,90718442712361+25,3717148321935i</v>
      </c>
      <c r="AA502" s="4">
        <f t="shared" si="443"/>
        <v>25.5377296332203</v>
      </c>
      <c r="AB502" s="4">
        <f t="shared" si="444"/>
        <v>1.6848824471156</v>
      </c>
      <c r="AC502" s="67" t="str">
        <f t="shared" si="445"/>
        <v>-2,662655439562+0,315833570089772i</v>
      </c>
      <c r="AD502" s="68">
        <f t="shared" si="446"/>
        <v>8.56697771906824</v>
      </c>
      <c r="AE502" s="31">
        <f t="shared" si="447"/>
        <v>173.235410336933</v>
      </c>
      <c r="AF502" s="32" t="str">
        <f t="shared" si="448"/>
        <v>326,048966736478</v>
      </c>
      <c r="AG502" s="32" t="str">
        <f t="shared" si="430"/>
        <v>1+3651,39784088491i</v>
      </c>
      <c r="AH502" s="32">
        <f t="shared" si="449"/>
        <v>3651.39797781877</v>
      </c>
      <c r="AI502" s="32">
        <f t="shared" si="450"/>
        <v>1.57052245908215</v>
      </c>
      <c r="AJ502" s="32" t="str">
        <f t="shared" si="431"/>
        <v>1+68,159426363185i</v>
      </c>
      <c r="AK502" s="32">
        <f t="shared" si="451"/>
        <v>68.1667617109573</v>
      </c>
      <c r="AL502" s="32">
        <f t="shared" si="452"/>
        <v>1.55612589437204</v>
      </c>
      <c r="AM502" s="32" t="str">
        <f t="shared" si="432"/>
        <v>1-11,2486780957666i</v>
      </c>
      <c r="AN502" s="32">
        <f t="shared" si="453"/>
        <v>11.2930402860425</v>
      </c>
      <c r="AO502" s="32">
        <f t="shared" si="454"/>
        <v>-1.48213008092267</v>
      </c>
      <c r="AP502" s="30" t="str">
        <f t="shared" si="455"/>
        <v>5,10057835802953-68,5501349817157i</v>
      </c>
      <c r="AQ502" s="32">
        <f t="shared" si="456"/>
        <v>36.7441439622821</v>
      </c>
      <c r="AR502" s="31">
        <f t="shared" si="457"/>
        <v>-85.7446607236284</v>
      </c>
      <c r="AS502" t="str">
        <f t="shared" si="433"/>
        <v>-0,000100699300699301</v>
      </c>
      <c r="AT502" t="str">
        <f t="shared" si="434"/>
        <v>0,976748922436713i</v>
      </c>
      <c r="AU502">
        <f t="shared" si="458"/>
        <v>0.976748922436713</v>
      </c>
      <c r="AV502">
        <f t="shared" si="459"/>
        <v>1.5707963267949</v>
      </c>
      <c r="AW502" t="str">
        <f t="shared" si="435"/>
        <v>1+50,0077532937434i</v>
      </c>
      <c r="AX502">
        <f t="shared" si="460"/>
        <v>50.0177507439899</v>
      </c>
      <c r="AY502">
        <f t="shared" si="461"/>
        <v>1.55080209241876</v>
      </c>
      <c r="AZ502" t="str">
        <f t="shared" si="436"/>
        <v>1+2390,79620534131i</v>
      </c>
      <c r="BA502">
        <f t="shared" si="462"/>
        <v>2390.79641447665</v>
      </c>
      <c r="BB502">
        <f t="shared" si="463"/>
        <v>1.57037805612028</v>
      </c>
      <c r="BC502" s="30" t="str">
        <f t="shared" si="464"/>
        <v>-0,0000964622447691258+0,00492695654174093i</v>
      </c>
      <c r="BD502" s="32">
        <f t="shared" si="465"/>
        <v>-46.1467609656443</v>
      </c>
      <c r="BE502" s="31">
        <f t="shared" si="466"/>
        <v>91.1216200999981</v>
      </c>
      <c r="BF502" s="30" t="str">
        <f t="shared" si="467"/>
        <v>-0,00129925255350832-0,0131492536514964i</v>
      </c>
      <c r="BG502" s="68">
        <f t="shared" si="468"/>
        <v>-37.5797832465761</v>
      </c>
      <c r="BH502" s="31">
        <f t="shared" si="469"/>
        <v>-95.6429695630689</v>
      </c>
      <c r="BI502" s="30" t="str">
        <f t="shared" si="476"/>
        <v>0,337251522747352+0,0317428278073187i</v>
      </c>
      <c r="BJ502" s="68">
        <f t="shared" si="470"/>
        <v>-9.40261700336224</v>
      </c>
      <c r="BK502" s="31">
        <f t="shared" si="477"/>
        <v>5.37695937636972</v>
      </c>
      <c r="BL502" s="32">
        <f t="shared" si="471"/>
        <v>-37.5797832465761</v>
      </c>
      <c r="BM502" s="31">
        <f t="shared" si="472"/>
        <v>-95.6429695630689</v>
      </c>
      <c r="BO502">
        <f t="shared" si="473"/>
        <v>0</v>
      </c>
      <c r="BP502">
        <f t="shared" si="474"/>
        <v>0</v>
      </c>
    </row>
    <row r="503" spans="14:68">
      <c r="N503" s="7">
        <v>85</v>
      </c>
      <c r="O503" s="18">
        <f t="shared" si="475"/>
        <v>707945.784384139</v>
      </c>
      <c r="P503" s="86" t="str">
        <f t="shared" si="425"/>
        <v>60</v>
      </c>
      <c r="Q503" s="4" t="str">
        <f t="shared" si="426"/>
        <v>1+5812,25527961027i</v>
      </c>
      <c r="R503" s="4">
        <f t="shared" si="437"/>
        <v>5812.2553656354</v>
      </c>
      <c r="S503" s="4">
        <f t="shared" si="438"/>
        <v>1.57062427654211</v>
      </c>
      <c r="T503" s="4" t="str">
        <f t="shared" si="427"/>
        <v>1+69,7470633553233i</v>
      </c>
      <c r="U503" s="4">
        <f t="shared" si="439"/>
        <v>69.7542317475541</v>
      </c>
      <c r="V503" s="4">
        <f t="shared" si="440"/>
        <v>1.55645978789503</v>
      </c>
      <c r="W503" t="str">
        <f t="shared" si="428"/>
        <v>1-97,3033807970471i</v>
      </c>
      <c r="X503" s="4">
        <f t="shared" si="441"/>
        <v>97.3085192289717</v>
      </c>
      <c r="Y503" s="4">
        <f t="shared" si="442"/>
        <v>-1.5605195533926</v>
      </c>
      <c r="Z503" t="str">
        <f t="shared" si="429"/>
        <v>-3,09132435614104+25,9626979899293i</v>
      </c>
      <c r="AA503" s="4">
        <f t="shared" si="443"/>
        <v>26.1460890611034</v>
      </c>
      <c r="AB503" s="4">
        <f t="shared" si="444"/>
        <v>1.68930629970624</v>
      </c>
      <c r="AC503" s="67" t="str">
        <f t="shared" si="445"/>
        <v>-2,65986730191306+0,327197177579415i</v>
      </c>
      <c r="AD503" s="68">
        <f t="shared" si="446"/>
        <v>8.5624250166227</v>
      </c>
      <c r="AE503" s="31">
        <f t="shared" si="447"/>
        <v>172.987129046496</v>
      </c>
      <c r="AF503" s="32" t="str">
        <f t="shared" si="448"/>
        <v>326,048966736478</v>
      </c>
      <c r="AG503" s="32" t="str">
        <f t="shared" si="430"/>
        <v>1+3736,44982260661i</v>
      </c>
      <c r="AH503" s="32">
        <f t="shared" si="449"/>
        <v>3736.44995642347</v>
      </c>
      <c r="AI503" s="32">
        <f t="shared" si="450"/>
        <v>1.57052869307208</v>
      </c>
      <c r="AJ503" s="32" t="str">
        <f t="shared" si="431"/>
        <v>1+69,7470633553233i</v>
      </c>
      <c r="AK503" s="32">
        <f t="shared" si="451"/>
        <v>69.7542317475541</v>
      </c>
      <c r="AL503" s="32">
        <f t="shared" si="452"/>
        <v>1.55645978789503</v>
      </c>
      <c r="AM503" s="32" t="str">
        <f t="shared" si="432"/>
        <v>1-11,51069346782i</v>
      </c>
      <c r="AN503" s="32">
        <f t="shared" si="453"/>
        <v>11.5540496844229</v>
      </c>
      <c r="AO503" s="32">
        <f t="shared" si="454"/>
        <v>-1.48413816528979</v>
      </c>
      <c r="AP503" s="30" t="str">
        <f t="shared" si="455"/>
        <v>5,10057727459936-70,1428245642762i</v>
      </c>
      <c r="AQ503" s="32">
        <f t="shared" si="456"/>
        <v>36.9425689782218</v>
      </c>
      <c r="AR503" s="31">
        <f t="shared" si="457"/>
        <v>-85.8409419744093</v>
      </c>
      <c r="AS503" t="str">
        <f t="shared" si="433"/>
        <v>-0,000100699300699301</v>
      </c>
      <c r="AT503" t="str">
        <f t="shared" si="434"/>
        <v>0,999500327547267i</v>
      </c>
      <c r="AU503">
        <f t="shared" si="458"/>
        <v>0.999500327547267</v>
      </c>
      <c r="AV503">
        <f t="shared" si="459"/>
        <v>1.5707963267949</v>
      </c>
      <c r="AW503" t="str">
        <f t="shared" si="435"/>
        <v>1+51,1725835051925i</v>
      </c>
      <c r="AX503">
        <f t="shared" si="460"/>
        <v>51.1823534296333</v>
      </c>
      <c r="AY503">
        <f t="shared" si="461"/>
        <v>1.55125709957975</v>
      </c>
      <c r="AZ503" t="str">
        <f t="shared" si="436"/>
        <v>1+2446,48500289718i</v>
      </c>
      <c r="BA503">
        <f t="shared" si="462"/>
        <v>2446.48520727202</v>
      </c>
      <c r="BB503">
        <f t="shared" si="463"/>
        <v>1.57038757712215</v>
      </c>
      <c r="BC503" s="30" t="str">
        <f t="shared" si="464"/>
        <v>-0,0000921223858847022+0,00481489012690277i</v>
      </c>
      <c r="BD503" s="32">
        <f t="shared" si="465"/>
        <v>-46.3466828687368</v>
      </c>
      <c r="BE503" s="31">
        <f t="shared" si="466"/>
        <v>91.0960956232496</v>
      </c>
      <c r="BF503" s="30" t="str">
        <f t="shared" si="467"/>
        <v>-0,00133038513788864-0,0128371109955061i</v>
      </c>
      <c r="BG503" s="68">
        <f t="shared" si="468"/>
        <v>-37.7842578521141</v>
      </c>
      <c r="BH503" s="31">
        <f t="shared" si="469"/>
        <v>-95.9167753302549</v>
      </c>
      <c r="BI503" s="30" t="str">
        <f t="shared" si="476"/>
        <v>0,337260116119681+0,0310204435125263i</v>
      </c>
      <c r="BJ503" s="68">
        <f t="shared" si="470"/>
        <v>-9.40411389051501</v>
      </c>
      <c r="BK503" s="31">
        <f t="shared" si="477"/>
        <v>5.25515364884022</v>
      </c>
      <c r="BL503" s="32">
        <f t="shared" si="471"/>
        <v>-37.7842578521141</v>
      </c>
      <c r="BM503" s="31">
        <f t="shared" si="472"/>
        <v>-95.9167753302549</v>
      </c>
      <c r="BO503">
        <f t="shared" si="473"/>
        <v>0</v>
      </c>
      <c r="BP503">
        <f t="shared" si="474"/>
        <v>0</v>
      </c>
    </row>
    <row r="504" spans="14:68">
      <c r="N504" s="7">
        <v>86</v>
      </c>
      <c r="O504" s="18">
        <f t="shared" si="475"/>
        <v>724435.960074992</v>
      </c>
      <c r="P504" s="86" t="str">
        <f t="shared" si="425"/>
        <v>60</v>
      </c>
      <c r="Q504" s="4" t="str">
        <f t="shared" si="426"/>
        <v>1+5947,64009697202i</v>
      </c>
      <c r="R504" s="4">
        <f t="shared" si="437"/>
        <v>5947.64018103898</v>
      </c>
      <c r="S504" s="4">
        <f t="shared" si="438"/>
        <v>1.57062819288392</v>
      </c>
      <c r="T504" s="4" t="str">
        <f t="shared" si="427"/>
        <v>1+71,3716811636643i</v>
      </c>
      <c r="U504" s="4">
        <f t="shared" si="439"/>
        <v>71.3786863995672</v>
      </c>
      <c r="V504" s="4">
        <f t="shared" si="440"/>
        <v>1.5567860841626</v>
      </c>
      <c r="W504" t="str">
        <f t="shared" si="428"/>
        <v>1-99,5698676948441i</v>
      </c>
      <c r="X504" s="4">
        <f t="shared" si="441"/>
        <v>99.5748891677453</v>
      </c>
      <c r="Y504" s="4">
        <f t="shared" si="442"/>
        <v>-1.56075346540283</v>
      </c>
      <c r="Z504" t="str">
        <f t="shared" si="429"/>
        <v>-3,28414253265126+26,5674469137964i</v>
      </c>
      <c r="AA504" s="4">
        <f t="shared" si="443"/>
        <v>26.7696624500975</v>
      </c>
      <c r="AB504" s="4">
        <f t="shared" si="444"/>
        <v>1.6937876784895</v>
      </c>
      <c r="AC504" s="67" t="str">
        <f t="shared" si="445"/>
        <v>-2,65694050970775+0,33869194786748i</v>
      </c>
      <c r="AD504" s="68">
        <f t="shared" si="446"/>
        <v>8.55764103027617</v>
      </c>
      <c r="AE504" s="31">
        <f t="shared" si="447"/>
        <v>172.735433793998</v>
      </c>
      <c r="AF504" s="32" t="str">
        <f t="shared" si="448"/>
        <v>326,048966736478</v>
      </c>
      <c r="AG504" s="32" t="str">
        <f t="shared" si="430"/>
        <v>1+3823,48291948201i</v>
      </c>
      <c r="AH504" s="32">
        <f t="shared" si="449"/>
        <v>3823.48305025283</v>
      </c>
      <c r="AI504" s="32">
        <f t="shared" si="450"/>
        <v>1.5705347851591</v>
      </c>
      <c r="AJ504" s="32" t="str">
        <f t="shared" si="431"/>
        <v>1+71,3716811636643i</v>
      </c>
      <c r="AK504" s="32">
        <f t="shared" si="451"/>
        <v>71.3786863995672</v>
      </c>
      <c r="AL504" s="32">
        <f t="shared" si="452"/>
        <v>1.5567860841626</v>
      </c>
      <c r="AM504" s="32" t="str">
        <f t="shared" si="432"/>
        <v>1-11,778811961912i</v>
      </c>
      <c r="AN504" s="32">
        <f t="shared" si="453"/>
        <v>11.8211848489938</v>
      </c>
      <c r="AO504" s="32">
        <f t="shared" si="454"/>
        <v>-1.48610121732248</v>
      </c>
      <c r="AP504" s="30" t="str">
        <f t="shared" si="455"/>
        <v>5,1005762399316-71,7727048008444i</v>
      </c>
      <c r="AQ504" s="32">
        <f t="shared" si="456"/>
        <v>37.1410643744678</v>
      </c>
      <c r="AR504" s="31">
        <f t="shared" si="457"/>
        <v>-85.9350702227186</v>
      </c>
      <c r="AS504" t="str">
        <f t="shared" si="433"/>
        <v>-0,000100699300699301</v>
      </c>
      <c r="AT504" t="str">
        <f t="shared" si="434"/>
        <v>1,02278168096144i</v>
      </c>
      <c r="AU504">
        <f t="shared" si="458"/>
        <v>1.02278168096144</v>
      </c>
      <c r="AV504">
        <f t="shared" si="459"/>
        <v>1.5707963267949</v>
      </c>
      <c r="AW504" t="str">
        <f t="shared" si="435"/>
        <v>1+52,3645460977653i</v>
      </c>
      <c r="AX504">
        <f t="shared" si="460"/>
        <v>52.3740936725877</v>
      </c>
      <c r="AY504">
        <f t="shared" si="461"/>
        <v>1.5517017573321</v>
      </c>
      <c r="AZ504" t="str">
        <f t="shared" si="436"/>
        <v>1+2503,47095918465i</v>
      </c>
      <c r="BA504">
        <f t="shared" si="462"/>
        <v>2503.47115890735</v>
      </c>
      <c r="BB504">
        <f t="shared" si="463"/>
        <v>1.57039688139964</v>
      </c>
      <c r="BC504" s="30" t="str">
        <f t="shared" si="464"/>
        <v>-0,0000879777070544943+0,00470536899729958i</v>
      </c>
      <c r="BD504" s="32">
        <f t="shared" si="465"/>
        <v>-46.5466082854569</v>
      </c>
      <c r="BE504" s="31">
        <f t="shared" si="466"/>
        <v>91.0711517065431</v>
      </c>
      <c r="BF504" s="30" t="str">
        <f t="shared" si="467"/>
        <v>-0,00135991905730636-0,0125316828430194i</v>
      </c>
      <c r="BG504" s="68">
        <f t="shared" si="468"/>
        <v>-37.9889672551808</v>
      </c>
      <c r="BH504" s="31">
        <f t="shared" si="469"/>
        <v>-96.1934144994593</v>
      </c>
      <c r="BI504" s="30" t="str">
        <f t="shared" si="476"/>
        <v>0,337268323019982+0,0303144913052144i</v>
      </c>
      <c r="BJ504" s="68">
        <f t="shared" si="470"/>
        <v>-9.40554391098913</v>
      </c>
      <c r="BK504" s="31">
        <f t="shared" si="477"/>
        <v>5.13608148382455</v>
      </c>
      <c r="BL504" s="32">
        <f t="shared" si="471"/>
        <v>-37.9889672551808</v>
      </c>
      <c r="BM504" s="31">
        <f t="shared" si="472"/>
        <v>-96.1934144994593</v>
      </c>
      <c r="BO504">
        <f t="shared" si="473"/>
        <v>0</v>
      </c>
      <c r="BP504">
        <f t="shared" si="474"/>
        <v>0</v>
      </c>
    </row>
    <row r="505" spans="14:68">
      <c r="N505" s="7">
        <v>87</v>
      </c>
      <c r="O505" s="18">
        <f t="shared" si="475"/>
        <v>741310.241300918</v>
      </c>
      <c r="P505" s="86" t="str">
        <f t="shared" si="425"/>
        <v>60</v>
      </c>
      <c r="Q505" s="4" t="str">
        <f t="shared" si="426"/>
        <v>1+6086,17843183947i</v>
      </c>
      <c r="R505" s="4">
        <f t="shared" si="437"/>
        <v>6086.17851399283</v>
      </c>
      <c r="S505" s="4">
        <f t="shared" si="438"/>
        <v>1.57063202007892</v>
      </c>
      <c r="T505" s="4" t="str">
        <f t="shared" si="427"/>
        <v>1+73,0341411820737i</v>
      </c>
      <c r="U505" s="4">
        <f t="shared" si="439"/>
        <v>73.0409869744589</v>
      </c>
      <c r="V505" s="4">
        <f t="shared" si="440"/>
        <v>1.55710495590329</v>
      </c>
      <c r="W505" t="str">
        <f t="shared" si="428"/>
        <v>1-101,889147854456i</v>
      </c>
      <c r="X505" s="4">
        <f t="shared" si="441"/>
        <v>101.894055030248</v>
      </c>
      <c r="Y505" s="4">
        <f t="shared" si="442"/>
        <v>-1.56098205398763</v>
      </c>
      <c r="Z505" t="str">
        <f t="shared" si="429"/>
        <v>-3,48604794985818+27,1862822496787i</v>
      </c>
      <c r="AA505" s="4">
        <f t="shared" si="443"/>
        <v>27.4088758045255</v>
      </c>
      <c r="AB505" s="4">
        <f t="shared" si="444"/>
        <v>1.69832858047634</v>
      </c>
      <c r="AC505" s="67" t="str">
        <f t="shared" si="445"/>
        <v>-2,65386980954262+0,350321033542159i</v>
      </c>
      <c r="AD505" s="68">
        <f t="shared" si="446"/>
        <v>8.55261639775579</v>
      </c>
      <c r="AE505" s="31">
        <f t="shared" si="447"/>
        <v>172.480212836642</v>
      </c>
      <c r="AF505" s="32" t="str">
        <f t="shared" si="448"/>
        <v>326,048966736478</v>
      </c>
      <c r="AG505" s="32" t="str">
        <f t="shared" si="430"/>
        <v>1+3912,54327761109i</v>
      </c>
      <c r="AH505" s="32">
        <f t="shared" si="449"/>
        <v>3912.5434054052</v>
      </c>
      <c r="AI505" s="32">
        <f t="shared" si="450"/>
        <v>1.57054073857331</v>
      </c>
      <c r="AJ505" s="32" t="str">
        <f t="shared" si="431"/>
        <v>1+73,0341411820737i</v>
      </c>
      <c r="AK505" s="32">
        <f t="shared" si="451"/>
        <v>73.0409869744589</v>
      </c>
      <c r="AL505" s="32">
        <f t="shared" si="452"/>
        <v>1.55710495590329</v>
      </c>
      <c r="AM505" s="32" t="str">
        <f t="shared" si="432"/>
        <v>1-12,0531757380173i</v>
      </c>
      <c r="AN505" s="32">
        <f t="shared" si="453"/>
        <v>12.0945874411461</v>
      </c>
      <c r="AO505" s="32">
        <f t="shared" si="454"/>
        <v>-1.4880202173052</v>
      </c>
      <c r="AP505" s="30" t="str">
        <f t="shared" si="455"/>
        <v>5,10057525183154-73,4406398754981i</v>
      </c>
      <c r="AQ505" s="32">
        <f t="shared" si="456"/>
        <v>37.3396270275655</v>
      </c>
      <c r="AR505" s="31">
        <f t="shared" si="457"/>
        <v>-86.0270919231743</v>
      </c>
      <c r="AS505" t="str">
        <f t="shared" si="433"/>
        <v>-0,000100699300699301</v>
      </c>
      <c r="AT505" t="str">
        <f t="shared" si="434"/>
        <v>1,04660532676097i</v>
      </c>
      <c r="AU505">
        <f t="shared" si="458"/>
        <v>1.04660532676097</v>
      </c>
      <c r="AV505">
        <f t="shared" si="459"/>
        <v>1.5707963267949</v>
      </c>
      <c r="AW505" t="str">
        <f t="shared" si="435"/>
        <v>1+53,5842730658056i</v>
      </c>
      <c r="AX505">
        <f t="shared" si="460"/>
        <v>53.5936033495679</v>
      </c>
      <c r="AY505">
        <f t="shared" si="461"/>
        <v>1.5521363007355</v>
      </c>
      <c r="AZ505" t="str">
        <f t="shared" si="436"/>
        <v>1+2561,78428891202i</v>
      </c>
      <c r="BA505">
        <f t="shared" si="462"/>
        <v>2561.78448408848</v>
      </c>
      <c r="BB505">
        <f t="shared" si="463"/>
        <v>1.57040597388597</v>
      </c>
      <c r="BC505" s="30" t="str">
        <f t="shared" si="464"/>
        <v>-0,0000840194365484306+0,00459833559249742i</v>
      </c>
      <c r="BD505" s="32">
        <f t="shared" si="465"/>
        <v>-46.7465370577809</v>
      </c>
      <c r="BE505" s="31">
        <f t="shared" si="466"/>
        <v>91.0467751646054</v>
      </c>
      <c r="BF505" s="30" t="str">
        <f t="shared" si="467"/>
        <v>-0,00138791703126673-0,0122328177789235i</v>
      </c>
      <c r="BG505" s="68">
        <f t="shared" si="468"/>
        <v>-38.1939206600251</v>
      </c>
      <c r="BH505" s="31">
        <f t="shared" si="469"/>
        <v>-96.4730119987526</v>
      </c>
      <c r="BI505" s="30" t="str">
        <f t="shared" si="476"/>
        <v>0,337276160816556+0,029624597904804i</v>
      </c>
      <c r="BJ505" s="68">
        <f t="shared" si="470"/>
        <v>-9.40691003021539</v>
      </c>
      <c r="BK505" s="31">
        <f t="shared" si="477"/>
        <v>5.01968324143109</v>
      </c>
      <c r="BL505" s="32">
        <f t="shared" si="471"/>
        <v>-38.1939206600251</v>
      </c>
      <c r="BM505" s="31">
        <f t="shared" si="472"/>
        <v>-96.4730119987526</v>
      </c>
      <c r="BO505">
        <f t="shared" si="473"/>
        <v>0</v>
      </c>
      <c r="BP505">
        <f t="shared" si="474"/>
        <v>0</v>
      </c>
    </row>
    <row r="506" spans="14:68">
      <c r="N506" s="7">
        <v>88</v>
      </c>
      <c r="O506" s="18">
        <f t="shared" si="475"/>
        <v>758577.575029184</v>
      </c>
      <c r="P506" s="86" t="str">
        <f t="shared" si="425"/>
        <v>60</v>
      </c>
      <c r="Q506" s="4" t="str">
        <f t="shared" si="426"/>
        <v>1+6227,9437390716i</v>
      </c>
      <c r="R506" s="4">
        <f t="shared" si="437"/>
        <v>6227.94381935492</v>
      </c>
      <c r="S506" s="4">
        <f t="shared" si="438"/>
        <v>1.57063576015632</v>
      </c>
      <c r="T506" s="4" t="str">
        <f t="shared" si="427"/>
        <v>1+74,7353248688593i</v>
      </c>
      <c r="U506" s="4">
        <f t="shared" si="439"/>
        <v>74.7420148460954</v>
      </c>
      <c r="V506" s="4">
        <f t="shared" si="440"/>
        <v>1.55741657192758</v>
      </c>
      <c r="W506" t="str">
        <f t="shared" si="428"/>
        <v>1-104,262450988922i</v>
      </c>
      <c r="X506" s="4">
        <f t="shared" si="441"/>
        <v>104.267246468953</v>
      </c>
      <c r="Y506" s="4">
        <f t="shared" si="442"/>
        <v>-1.56120544025208</v>
      </c>
      <c r="Z506" t="str">
        <f t="shared" si="429"/>
        <v>-3,69746887622172+27,8195321122628i</v>
      </c>
      <c r="AA506" s="4">
        <f t="shared" si="443"/>
        <v>28.0641700934813</v>
      </c>
      <c r="AB506" s="4">
        <f t="shared" si="444"/>
        <v>1.70293100929942</v>
      </c>
      <c r="AC506" s="67" t="str">
        <f t="shared" si="445"/>
        <v>-2,65064973042664+0,362087471483446i</v>
      </c>
      <c r="AD506" s="68">
        <f t="shared" si="446"/>
        <v>8.54734131987803</v>
      </c>
      <c r="AE506" s="31">
        <f t="shared" si="447"/>
        <v>172.221353991786</v>
      </c>
      <c r="AF506" s="32" t="str">
        <f t="shared" si="448"/>
        <v>326,048966736478</v>
      </c>
      <c r="AG506" s="32" t="str">
        <f t="shared" si="430"/>
        <v>1+4003,67811797461i</v>
      </c>
      <c r="AH506" s="32">
        <f t="shared" si="449"/>
        <v>4003.67824285977</v>
      </c>
      <c r="AI506" s="32">
        <f t="shared" si="450"/>
        <v>1.57054655647127</v>
      </c>
      <c r="AJ506" s="32" t="str">
        <f t="shared" si="431"/>
        <v>1+74,7353248688593i</v>
      </c>
      <c r="AK506" s="32">
        <f t="shared" si="451"/>
        <v>74.7420148460954</v>
      </c>
      <c r="AL506" s="32">
        <f t="shared" si="452"/>
        <v>1.55741657192758</v>
      </c>
      <c r="AM506" s="32" t="str">
        <f t="shared" si="432"/>
        <v>1-12,3339302674415i</v>
      </c>
      <c r="AN506" s="32">
        <f t="shared" si="453"/>
        <v>12.3744024438398</v>
      </c>
      <c r="AO506" s="32">
        <f t="shared" si="454"/>
        <v>-1.48989612615103</v>
      </c>
      <c r="AP506" s="30" t="str">
        <f t="shared" si="455"/>
        <v>5,10057430820329-75,1475141494923i</v>
      </c>
      <c r="AQ506" s="32">
        <f t="shared" si="456"/>
        <v>37.5382539507911</v>
      </c>
      <c r="AR506" s="31">
        <f t="shared" si="457"/>
        <v>-86.1170526407704</v>
      </c>
      <c r="AS506" t="str">
        <f t="shared" si="433"/>
        <v>-0,000100699300699301</v>
      </c>
      <c r="AT506" t="str">
        <f t="shared" si="434"/>
        <v>1,07098389655821i</v>
      </c>
      <c r="AU506">
        <f t="shared" si="458"/>
        <v>1.07098389655821</v>
      </c>
      <c r="AV506">
        <f t="shared" si="459"/>
        <v>1.5707963267949</v>
      </c>
      <c r="AW506" t="str">
        <f t="shared" si="435"/>
        <v>1+54,8324111246972i</v>
      </c>
      <c r="AX506">
        <f t="shared" si="460"/>
        <v>54.8415290609937</v>
      </c>
      <c r="AY506">
        <f t="shared" si="461"/>
        <v>1.55256095953381</v>
      </c>
      <c r="AZ506" t="str">
        <f t="shared" si="436"/>
        <v>1+2621,45591057861i</v>
      </c>
      <c r="BA506">
        <f t="shared" si="462"/>
        <v>2621.45610131231</v>
      </c>
      <c r="BB506">
        <f t="shared" si="463"/>
        <v>1.57041485940212</v>
      </c>
      <c r="BC506" s="30" t="str">
        <f t="shared" si="464"/>
        <v>-0,0000802391963022391+0,00449373363714547i</v>
      </c>
      <c r="BD506" s="32">
        <f t="shared" si="465"/>
        <v>-46.9464690347868</v>
      </c>
      <c r="BE506" s="31">
        <f t="shared" si="466"/>
        <v>91.0229531103031</v>
      </c>
      <c r="BF506" s="30" t="str">
        <f t="shared" si="467"/>
        <v>-0,00141443864614593-0,0119403674616117i</v>
      </c>
      <c r="BG506" s="68">
        <f t="shared" si="468"/>
        <v>-38.3991277149088</v>
      </c>
      <c r="BH506" s="31">
        <f t="shared" si="469"/>
        <v>-96.755692897911</v>
      </c>
      <c r="BI506" s="30" t="str">
        <f t="shared" si="476"/>
        <v>0,337283646098269+0,0289503984769995i</v>
      </c>
      <c r="BJ506" s="68">
        <f t="shared" si="470"/>
        <v>-9.40821508399567</v>
      </c>
      <c r="BK506" s="31">
        <f t="shared" si="477"/>
        <v>4.90590046953266</v>
      </c>
      <c r="BL506" s="32">
        <f t="shared" si="471"/>
        <v>-38.3991277149088</v>
      </c>
      <c r="BM506" s="31">
        <f t="shared" si="472"/>
        <v>-96.755692897911</v>
      </c>
      <c r="BO506">
        <f t="shared" si="473"/>
        <v>0</v>
      </c>
      <c r="BP506">
        <f t="shared" si="474"/>
        <v>0</v>
      </c>
    </row>
    <row r="507" spans="14:68">
      <c r="N507" s="7">
        <v>89</v>
      </c>
      <c r="O507" s="18">
        <f t="shared" si="475"/>
        <v>776247.116628692</v>
      </c>
      <c r="P507" s="86" t="str">
        <f t="shared" si="425"/>
        <v>60</v>
      </c>
      <c r="Q507" s="4" t="str">
        <f t="shared" si="426"/>
        <v>1+6373,01118451077i</v>
      </c>
      <c r="R507" s="4">
        <f t="shared" si="437"/>
        <v>6373.01126296662</v>
      </c>
      <c r="S507" s="4">
        <f t="shared" si="438"/>
        <v>1.57063941509918</v>
      </c>
      <c r="T507" s="4" t="str">
        <f t="shared" si="427"/>
        <v>1+76,4761342141293i</v>
      </c>
      <c r="U507" s="4">
        <f t="shared" si="439"/>
        <v>76.4826719220603</v>
      </c>
      <c r="V507" s="4">
        <f t="shared" si="440"/>
        <v>1.5577210972162</v>
      </c>
      <c r="W507" t="str">
        <f t="shared" si="428"/>
        <v>1-106,69103545498i</v>
      </c>
      <c r="X507" s="4">
        <f t="shared" si="441"/>
        <v>106.695721781409</v>
      </c>
      <c r="Y507" s="4">
        <f t="shared" si="442"/>
        <v>-1.56142374254932</v>
      </c>
      <c r="Z507" t="str">
        <f t="shared" si="429"/>
        <v>-3,91885376387234+28,467532259008i</v>
      </c>
      <c r="AA507" s="4">
        <f t="shared" si="443"/>
        <v>28.7360019442559</v>
      </c>
      <c r="AB507" s="4">
        <f t="shared" si="444"/>
        <v>1.70759697460691</v>
      </c>
      <c r="AC507" s="67" t="str">
        <f t="shared" si="445"/>
        <v>-2,64727457988984+0,373994172899821i</v>
      </c>
      <c r="AD507" s="68">
        <f t="shared" si="446"/>
        <v>8.5418055464269</v>
      </c>
      <c r="AE507" s="31">
        <f t="shared" si="447"/>
        <v>171.958744673015</v>
      </c>
      <c r="AF507" s="32" t="str">
        <f t="shared" si="448"/>
        <v>326,048966736478</v>
      </c>
      <c r="AG507" s="32" t="str">
        <f t="shared" si="430"/>
        <v>1+4096,93576147122i</v>
      </c>
      <c r="AH507" s="32">
        <f t="shared" si="449"/>
        <v>4096.93588351365</v>
      </c>
      <c r="AI507" s="32">
        <f t="shared" si="450"/>
        <v>1.57055224193773</v>
      </c>
      <c r="AJ507" s="32" t="str">
        <f t="shared" si="431"/>
        <v>1+76,4761342141293i</v>
      </c>
      <c r="AK507" s="32">
        <f t="shared" si="451"/>
        <v>76.4826719220603</v>
      </c>
      <c r="AL507" s="32">
        <f t="shared" si="452"/>
        <v>1.5577210972162</v>
      </c>
      <c r="AM507" s="32" t="str">
        <f t="shared" si="432"/>
        <v>1-12,6212244099524i</v>
      </c>
      <c r="AN507" s="32">
        <f t="shared" si="453"/>
        <v>12.6607782385752</v>
      </c>
      <c r="AO507" s="32">
        <f t="shared" si="454"/>
        <v>-1.49172988565116</v>
      </c>
      <c r="AP507" s="30" t="str">
        <f t="shared" si="455"/>
        <v>5,10057340704532-76,8942326301627i</v>
      </c>
      <c r="AQ507" s="32">
        <f t="shared" si="456"/>
        <v>37.7369422883318</v>
      </c>
      <c r="AR507" s="31">
        <f t="shared" si="457"/>
        <v>-86.20499706021</v>
      </c>
      <c r="AS507" t="str">
        <f t="shared" si="433"/>
        <v>-0,000100699300699301</v>
      </c>
      <c r="AT507" t="str">
        <f t="shared" si="434"/>
        <v>1,09593031619355i</v>
      </c>
      <c r="AU507">
        <f t="shared" si="458"/>
        <v>1.09593031619355</v>
      </c>
      <c r="AV507">
        <f t="shared" si="459"/>
        <v>1.5707963267949</v>
      </c>
      <c r="AW507" t="str">
        <f t="shared" si="435"/>
        <v>1+56,10962205376i</v>
      </c>
      <c r="AX507">
        <f t="shared" si="460"/>
        <v>56.1185324738254</v>
      </c>
      <c r="AY507">
        <f t="shared" si="461"/>
        <v>1.55297595827374</v>
      </c>
      <c r="AZ507" t="str">
        <f t="shared" si="436"/>
        <v>1+2682,51746286805i</v>
      </c>
      <c r="BA507">
        <f t="shared" si="462"/>
        <v>2682.51764926012</v>
      </c>
      <c r="BB507">
        <f t="shared" si="463"/>
        <v>1.57042354265928</v>
      </c>
      <c r="BC507" s="30" t="str">
        <f t="shared" si="464"/>
        <v>-0,0000766289842986253+0,00439150811339912i</v>
      </c>
      <c r="BD507" s="32">
        <f t="shared" si="465"/>
        <v>-47.1464040723364</v>
      </c>
      <c r="BE507" s="31">
        <f t="shared" si="466"/>
        <v>90.9996729479897</v>
      </c>
      <c r="BF507" s="30" t="str">
        <f t="shared" si="467"/>
        <v>-0,00143954048243703-0,0116541865895844i</v>
      </c>
      <c r="BG507" s="68">
        <f t="shared" si="468"/>
        <v>-38.6045985259095</v>
      </c>
      <c r="BH507" s="31">
        <f t="shared" si="469"/>
        <v>-97.0415823789949</v>
      </c>
      <c r="BI507" s="30" t="str">
        <f t="shared" si="476"/>
        <v>0,337290794709436+0,0282915364448989i</v>
      </c>
      <c r="BJ507" s="68">
        <f t="shared" si="470"/>
        <v>-9.40946178400458</v>
      </c>
      <c r="BK507" s="31">
        <f t="shared" si="477"/>
        <v>4.79467588777967</v>
      </c>
      <c r="BL507" s="32">
        <f t="shared" si="471"/>
        <v>-38.6045985259095</v>
      </c>
      <c r="BM507" s="31">
        <f t="shared" si="472"/>
        <v>-97.0415823789949</v>
      </c>
      <c r="BO507">
        <f t="shared" si="473"/>
        <v>0</v>
      </c>
      <c r="BP507">
        <f t="shared" si="474"/>
        <v>0</v>
      </c>
    </row>
    <row r="508" spans="14:68">
      <c r="N508" s="7">
        <v>90</v>
      </c>
      <c r="O508" s="18">
        <f t="shared" si="475"/>
        <v>794328.234724283</v>
      </c>
      <c r="P508" s="86" t="str">
        <f t="shared" si="425"/>
        <v>60</v>
      </c>
      <c r="Q508" s="4" t="str">
        <f t="shared" si="426"/>
        <v>1+6521,45768483674i</v>
      </c>
      <c r="R508" s="4">
        <f t="shared" si="437"/>
        <v>6521.45776150671</v>
      </c>
      <c r="S508" s="4">
        <f t="shared" si="438"/>
        <v>1.57064298684538</v>
      </c>
      <c r="T508" s="4" t="str">
        <f t="shared" si="427"/>
        <v>1+78,257492218041i</v>
      </c>
      <c r="U508" s="4">
        <f t="shared" si="439"/>
        <v>78.2638811218607</v>
      </c>
      <c r="V508" s="4">
        <f t="shared" si="440"/>
        <v>1.55801869300643</v>
      </c>
      <c r="W508" t="str">
        <f t="shared" si="428"/>
        <v>1-109,176188920258i</v>
      </c>
      <c r="X508" s="4">
        <f t="shared" si="441"/>
        <v>109.1807685774</v>
      </c>
      <c r="Y508" s="4">
        <f t="shared" si="442"/>
        <v>-1.56163707654282</v>
      </c>
      <c r="Z508" t="str">
        <f t="shared" si="429"/>
        <v>-4,15067219983836+29,1306262681692i</v>
      </c>
      <c r="AA508" s="4">
        <f t="shared" si="443"/>
        <v>29.424844374886</v>
      </c>
      <c r="AB508" s="4">
        <f t="shared" si="444"/>
        <v>1.71232849136244</v>
      </c>
      <c r="AC508" s="67" t="str">
        <f t="shared" si="445"/>
        <v>-2,64373844027284+0,386043912727845i</v>
      </c>
      <c r="AD508" s="68">
        <f t="shared" si="446"/>
        <v>8.53599836166623</v>
      </c>
      <c r="AE508" s="31">
        <f t="shared" si="447"/>
        <v>171.692271931572</v>
      </c>
      <c r="AF508" s="32" t="str">
        <f t="shared" si="448"/>
        <v>326,048966736478</v>
      </c>
      <c r="AG508" s="32" t="str">
        <f t="shared" si="430"/>
        <v>1+4192,36565453791i</v>
      </c>
      <c r="AH508" s="32">
        <f t="shared" si="449"/>
        <v>4192.36577380231</v>
      </c>
      <c r="AI508" s="32">
        <f t="shared" si="450"/>
        <v>1.57055779798719</v>
      </c>
      <c r="AJ508" s="32" t="str">
        <f t="shared" si="431"/>
        <v>1+78,257492218041i</v>
      </c>
      <c r="AK508" s="32">
        <f t="shared" si="451"/>
        <v>78.2638811218607</v>
      </c>
      <c r="AL508" s="32">
        <f t="shared" si="452"/>
        <v>1.55801869300643</v>
      </c>
      <c r="AM508" s="32" t="str">
        <f t="shared" si="432"/>
        <v>1-12,9152104927071i</v>
      </c>
      <c r="AN508" s="32">
        <f t="shared" si="453"/>
        <v>12.9538666841577</v>
      </c>
      <c r="AO508" s="32">
        <f t="shared" si="454"/>
        <v>-1.49352241873096</v>
      </c>
      <c r="AP508" s="30" t="str">
        <f t="shared" si="455"/>
        <v>5,10057254644614-78,6817214507694i</v>
      </c>
      <c r="AQ508" s="32">
        <f t="shared" si="456"/>
        <v>37.9356893096978</v>
      </c>
      <c r="AR508" s="31">
        <f t="shared" si="457"/>
        <v>-86.2909689957239</v>
      </c>
      <c r="AS508" t="str">
        <f t="shared" si="433"/>
        <v>-0,000100699300699301</v>
      </c>
      <c r="AT508" t="str">
        <f t="shared" si="434"/>
        <v>1,12145781258889i</v>
      </c>
      <c r="AU508">
        <f t="shared" si="458"/>
        <v>1.12145781258889</v>
      </c>
      <c r="AV508">
        <f t="shared" si="459"/>
        <v>1.5707963267949</v>
      </c>
      <c r="AW508" t="str">
        <f t="shared" si="435"/>
        <v>1+57,4165830471343i</v>
      </c>
      <c r="AX508">
        <f t="shared" si="460"/>
        <v>57.4252906723899</v>
      </c>
      <c r="AY508">
        <f t="shared" si="461"/>
        <v>1.55338151642101</v>
      </c>
      <c r="AZ508" t="str">
        <f t="shared" si="436"/>
        <v>1+2745,00132142363i</v>
      </c>
      <c r="BA508">
        <f t="shared" si="462"/>
        <v>2745.0015035729</v>
      </c>
      <c r="BB508">
        <f t="shared" si="463"/>
        <v>1.57043202826143</v>
      </c>
      <c r="BC508" s="30" t="str">
        <f t="shared" si="464"/>
        <v>-0,0000731811577327291+0,00429160523385953i</v>
      </c>
      <c r="BD508" s="32">
        <f t="shared" si="465"/>
        <v>-47.3463420327699</v>
      </c>
      <c r="BE508" s="31">
        <f t="shared" si="466"/>
        <v>90.976922366994</v>
      </c>
      <c r="BF508" s="30" t="str">
        <f t="shared" si="467"/>
        <v>-0,00146327623656075-0,0113741328676996i</v>
      </c>
      <c r="BG508" s="68">
        <f t="shared" si="468"/>
        <v>-38.8103436711037</v>
      </c>
      <c r="BH508" s="31">
        <f t="shared" si="469"/>
        <v>-97.3308057014341</v>
      </c>
      <c r="BI508" s="30" t="str">
        <f t="shared" si="476"/>
        <v>0,337297621783151+0,0276476633041799i</v>
      </c>
      <c r="BJ508" s="68">
        <f t="shared" si="470"/>
        <v>-9.41065272307208</v>
      </c>
      <c r="BK508" s="31">
        <f t="shared" si="477"/>
        <v>4.68595337127012</v>
      </c>
      <c r="BL508" s="32">
        <f t="shared" si="471"/>
        <v>-38.8103436711037</v>
      </c>
      <c r="BM508" s="31">
        <f t="shared" si="472"/>
        <v>-97.3308057014341</v>
      </c>
      <c r="BO508">
        <f t="shared" si="473"/>
        <v>0</v>
      </c>
      <c r="BP508">
        <f t="shared" si="474"/>
        <v>0</v>
      </c>
    </row>
    <row r="509" spans="14:68">
      <c r="N509" s="7">
        <v>91</v>
      </c>
      <c r="O509" s="18">
        <f t="shared" si="475"/>
        <v>812830.516164101</v>
      </c>
      <c r="P509" s="86" t="str">
        <f t="shared" si="425"/>
        <v>60</v>
      </c>
      <c r="Q509" s="4" t="str">
        <f t="shared" si="426"/>
        <v>1+6673,36194834892i</v>
      </c>
      <c r="R509" s="4">
        <f t="shared" si="437"/>
        <v>6673.36202327367</v>
      </c>
      <c r="S509" s="4">
        <f t="shared" si="438"/>
        <v>1.57064647728872</v>
      </c>
      <c r="T509" s="4" t="str">
        <f t="shared" si="427"/>
        <v>1+80,0803433801871i</v>
      </c>
      <c r="U509" s="4">
        <f t="shared" si="439"/>
        <v>80.0865868662704</v>
      </c>
      <c r="V509" s="4">
        <f t="shared" si="440"/>
        <v>1.55830951687653</v>
      </c>
      <c r="W509" t="str">
        <f t="shared" si="428"/>
        <v>1-111,71922904602i</v>
      </c>
      <c r="X509" s="4">
        <f t="shared" si="441"/>
        <v>111.723704461663</v>
      </c>
      <c r="Y509" s="4">
        <f t="shared" si="442"/>
        <v>-1.56184555526739</v>
      </c>
      <c r="Z509" t="str">
        <f t="shared" si="429"/>
        <v>-4,39341590210288+29,8091657209672i</v>
      </c>
      <c r="AA509" s="4">
        <f t="shared" si="443"/>
        <v>30.1311875681815</v>
      </c>
      <c r="AB509" s="4">
        <f t="shared" si="444"/>
        <v>1.71712757904559</v>
      </c>
      <c r="AC509" s="67" t="str">
        <f t="shared" si="445"/>
        <v>-2,64003516523944+0,398239318371801i</v>
      </c>
      <c r="AD509" s="68">
        <f t="shared" si="446"/>
        <v>8.52990856950678</v>
      </c>
      <c r="AE509" s="31">
        <f t="shared" si="447"/>
        <v>171.421822503445</v>
      </c>
      <c r="AF509" s="32" t="str">
        <f t="shared" si="448"/>
        <v>326,048966736478</v>
      </c>
      <c r="AG509" s="32" t="str">
        <f t="shared" si="430"/>
        <v>1+4290,01839536716i</v>
      </c>
      <c r="AH509" s="32">
        <f t="shared" si="449"/>
        <v>4290.01851191678</v>
      </c>
      <c r="AI509" s="32">
        <f t="shared" si="450"/>
        <v>1.57056322756554</v>
      </c>
      <c r="AJ509" s="32" t="str">
        <f t="shared" si="431"/>
        <v>1+80,0803433801871i</v>
      </c>
      <c r="AK509" s="32">
        <f t="shared" si="451"/>
        <v>80.0865868662704</v>
      </c>
      <c r="AL509" s="32">
        <f t="shared" si="452"/>
        <v>1.55830951687653</v>
      </c>
      <c r="AM509" s="32" t="str">
        <f t="shared" si="432"/>
        <v>1-13,216044391018i</v>
      </c>
      <c r="AN509" s="32">
        <f t="shared" si="453"/>
        <v>13.2538231973027</v>
      </c>
      <c r="AO509" s="32">
        <f t="shared" si="454"/>
        <v>-1.49527462971169</v>
      </c>
      <c r="AP509" s="30" t="str">
        <f t="shared" si="455"/>
        <v>5,10057172458029-80,5109283615463i</v>
      </c>
      <c r="AQ509" s="32">
        <f t="shared" si="456"/>
        <v>38.1344924043609</v>
      </c>
      <c r="AR509" s="31">
        <f t="shared" si="457"/>
        <v>-86.3750114013215</v>
      </c>
      <c r="AS509" t="str">
        <f t="shared" si="433"/>
        <v>-0,000100699300699301</v>
      </c>
      <c r="AT509" t="str">
        <f t="shared" si="434"/>
        <v>1,14757992076072i</v>
      </c>
      <c r="AU509">
        <f t="shared" si="458"/>
        <v>1.14757992076072</v>
      </c>
      <c r="AV509">
        <f t="shared" si="459"/>
        <v>1.5707963267949</v>
      </c>
      <c r="AW509" t="str">
        <f t="shared" si="435"/>
        <v>1+58,7539870728385i</v>
      </c>
      <c r="AX509">
        <f t="shared" si="460"/>
        <v>58.7624965173815</v>
      </c>
      <c r="AY509">
        <f t="shared" si="461"/>
        <v>1.55377784847396</v>
      </c>
      <c r="AZ509" t="str">
        <f t="shared" si="436"/>
        <v>1+2808,94061601421i</v>
      </c>
      <c r="BA509">
        <f t="shared" si="462"/>
        <v>2808.94079401726</v>
      </c>
      <c r="BB509">
        <f t="shared" si="463"/>
        <v>1.57044032070774</v>
      </c>
      <c r="BC509" s="30" t="str">
        <f t="shared" si="464"/>
        <v>-0,0000698884169273158+0,00419397241502493i</v>
      </c>
      <c r="BD509" s="32">
        <f t="shared" si="465"/>
        <v>-47.5462827846159</v>
      </c>
      <c r="BE509" s="31">
        <f t="shared" si="466"/>
        <v>90.9546893352497</v>
      </c>
      <c r="BF509" s="30" t="str">
        <f t="shared" si="467"/>
        <v>-0,00148569683749864-0,0111000669732292i</v>
      </c>
      <c r="BG509" s="68">
        <f t="shared" si="468"/>
        <v>-39.0163742151091</v>
      </c>
      <c r="BH509" s="31">
        <f t="shared" si="469"/>
        <v>-97.6234881613054</v>
      </c>
      <c r="BI509" s="30" t="str">
        <f t="shared" si="476"/>
        <v>0,337304141773118+0,0270184384422829i</v>
      </c>
      <c r="BJ509" s="68">
        <f t="shared" si="470"/>
        <v>-9.41179038025501</v>
      </c>
      <c r="BK509" s="31">
        <f t="shared" si="477"/>
        <v>4.57967793392821</v>
      </c>
      <c r="BL509" s="32">
        <f t="shared" si="471"/>
        <v>-39.0163742151091</v>
      </c>
      <c r="BM509" s="31">
        <f t="shared" si="472"/>
        <v>-97.6234881613054</v>
      </c>
      <c r="BO509">
        <f t="shared" si="473"/>
        <v>0</v>
      </c>
      <c r="BP509">
        <f t="shared" si="474"/>
        <v>0</v>
      </c>
    </row>
    <row r="510" spans="14:68">
      <c r="N510" s="7">
        <v>92</v>
      </c>
      <c r="O510" s="18">
        <f t="shared" si="475"/>
        <v>831763.771102671</v>
      </c>
      <c r="P510" s="86" t="str">
        <f t="shared" si="425"/>
        <v>60</v>
      </c>
      <c r="Q510" s="4" t="str">
        <f t="shared" si="426"/>
        <v>1+6828,80451669847i</v>
      </c>
      <c r="R510" s="4">
        <f t="shared" si="437"/>
        <v>6828.80458991773</v>
      </c>
      <c r="S510" s="4">
        <f t="shared" si="438"/>
        <v>1.57064988827987</v>
      </c>
      <c r="T510" s="4" t="str">
        <f t="shared" si="427"/>
        <v>1+81,9456542003818i</v>
      </c>
      <c r="U510" s="4">
        <f t="shared" si="439"/>
        <v>81.951755578075</v>
      </c>
      <c r="V510" s="4">
        <f t="shared" si="440"/>
        <v>1.55859372282828</v>
      </c>
      <c r="W510" t="str">
        <f t="shared" si="428"/>
        <v>1-114,3215041858i</v>
      </c>
      <c r="X510" s="4">
        <f t="shared" si="441"/>
        <v>114.325877732488</v>
      </c>
      <c r="Y510" s="4">
        <f t="shared" si="442"/>
        <v>-1.56204928918866</v>
      </c>
      <c r="Z510" t="str">
        <f t="shared" si="429"/>
        <v>-4,64759976260361+30,5035103880014i</v>
      </c>
      <c r="AA510" s="4">
        <f t="shared" si="443"/>
        <v>30.8555396897261</v>
      </c>
      <c r="AB510" s="4">
        <f t="shared" si="444"/>
        <v>1.72199626074744</v>
      </c>
      <c r="AC510" s="67" t="str">
        <f t="shared" si="445"/>
        <v>-2,63615837655661+0,410582857761388i</v>
      </c>
      <c r="AD510" s="68">
        <f t="shared" si="446"/>
        <v>8.52352447834727</v>
      </c>
      <c r="AE510" s="31">
        <f t="shared" si="447"/>
        <v>171.147282862454</v>
      </c>
      <c r="AF510" s="32" t="str">
        <f t="shared" si="448"/>
        <v>326,048966736478</v>
      </c>
      <c r="AG510" s="32" t="str">
        <f t="shared" si="430"/>
        <v>1+4389,94576073474i</v>
      </c>
      <c r="AH510" s="32">
        <f t="shared" si="449"/>
        <v>4389.94587463136</v>
      </c>
      <c r="AI510" s="32">
        <f t="shared" si="450"/>
        <v>1.57056853355161</v>
      </c>
      <c r="AJ510" s="32" t="str">
        <f t="shared" si="431"/>
        <v>1+81,9456542003818i</v>
      </c>
      <c r="AK510" s="32">
        <f t="shared" si="451"/>
        <v>81.951755578075</v>
      </c>
      <c r="AL510" s="32">
        <f t="shared" si="452"/>
        <v>1.55859372282828</v>
      </c>
      <c r="AM510" s="32" t="str">
        <f t="shared" si="432"/>
        <v>1-13,5238856110001i</v>
      </c>
      <c r="AN510" s="32">
        <f t="shared" si="453"/>
        <v>13.5608068351192</v>
      </c>
      <c r="AO510" s="32">
        <f t="shared" si="454"/>
        <v>-1.49698740457703</v>
      </c>
      <c r="AP510" s="30" t="str">
        <f t="shared" si="455"/>
        <v>5,10057093970448-82,3828232322113i</v>
      </c>
      <c r="AQ510" s="32">
        <f t="shared" si="456"/>
        <v>38.3333490766096</v>
      </c>
      <c r="AR510" s="31">
        <f t="shared" si="457"/>
        <v>-86.4571663814217</v>
      </c>
      <c r="AS510" t="str">
        <f t="shared" si="433"/>
        <v>-0,000100699300699301</v>
      </c>
      <c r="AT510" t="str">
        <f t="shared" si="434"/>
        <v>1,17431049099654i</v>
      </c>
      <c r="AU510">
        <f t="shared" si="458"/>
        <v>1.17431049099654</v>
      </c>
      <c r="AV510">
        <f t="shared" si="459"/>
        <v>1.5707963267949</v>
      </c>
      <c r="AW510" t="str">
        <f t="shared" si="435"/>
        <v>1+60,1225432401895i</v>
      </c>
      <c r="AX510">
        <f t="shared" si="460"/>
        <v>60.1308590132259</v>
      </c>
      <c r="AY510">
        <f t="shared" si="461"/>
        <v>1.55416516407477</v>
      </c>
      <c r="AZ510" t="str">
        <f t="shared" si="436"/>
        <v>1+2874,36924810012i</v>
      </c>
      <c r="BA510">
        <f t="shared" si="462"/>
        <v>2874.36942205132</v>
      </c>
      <c r="BB510">
        <f t="shared" si="463"/>
        <v>1.57044842439498</v>
      </c>
      <c r="BC510" s="30" t="str">
        <f t="shared" si="464"/>
        <v>-0,0000667437899646722+0,00409855825124944i</v>
      </c>
      <c r="BD510" s="32">
        <f t="shared" si="465"/>
        <v>-47.7462262023127</v>
      </c>
      <c r="BE510" s="31">
        <f t="shared" si="466"/>
        <v>90.9329620930609</v>
      </c>
      <c r="BF510" s="30" t="str">
        <f t="shared" si="467"/>
        <v>-0,00150685055850101-0,0108318525218579i</v>
      </c>
      <c r="BG510" s="68">
        <f t="shared" si="468"/>
        <v>-39.2227017239655</v>
      </c>
      <c r="BH510" s="31">
        <f t="shared" si="469"/>
        <v>-97.919755044485</v>
      </c>
      <c r="BI510" s="30" t="str">
        <f t="shared" si="476"/>
        <v>0,337310368484104+0,0264035289615163i</v>
      </c>
      <c r="BJ510" s="68">
        <f t="shared" si="470"/>
        <v>-9.41287712570317</v>
      </c>
      <c r="BK510" s="31">
        <f t="shared" si="477"/>
        <v>4.47579571163922</v>
      </c>
      <c r="BL510" s="32">
        <f t="shared" si="471"/>
        <v>-39.2227017239655</v>
      </c>
      <c r="BM510" s="31">
        <f t="shared" si="472"/>
        <v>-97.919755044485</v>
      </c>
      <c r="BO510">
        <f t="shared" si="473"/>
        <v>0</v>
      </c>
      <c r="BP510">
        <f t="shared" si="474"/>
        <v>0</v>
      </c>
    </row>
    <row r="511" spans="14:68">
      <c r="N511" s="7">
        <v>93</v>
      </c>
      <c r="O511" s="18">
        <f t="shared" si="475"/>
        <v>851138.038202377</v>
      </c>
      <c r="P511" s="86" t="str">
        <f t="shared" si="425"/>
        <v>60</v>
      </c>
      <c r="Q511" s="4" t="str">
        <f t="shared" si="426"/>
        <v>1+6987,86780759271i</v>
      </c>
      <c r="R511" s="4">
        <f t="shared" si="437"/>
        <v>6987.86787914529</v>
      </c>
      <c r="S511" s="4">
        <f t="shared" si="438"/>
        <v>1.57065322162738</v>
      </c>
      <c r="T511" s="4" t="str">
        <f t="shared" si="427"/>
        <v>1+83,8544136911126i</v>
      </c>
      <c r="U511" s="4">
        <f t="shared" si="439"/>
        <v>83.8603761944832</v>
      </c>
      <c r="V511" s="4">
        <f t="shared" si="440"/>
        <v>1.55887146136767</v>
      </c>
      <c r="W511" t="str">
        <f t="shared" si="428"/>
        <v>1-116,984394100324i</v>
      </c>
      <c r="X511" s="4">
        <f t="shared" si="441"/>
        <v>116.988668096615</v>
      </c>
      <c r="Y511" s="4">
        <f t="shared" si="442"/>
        <v>-1.56224838626138</v>
      </c>
      <c r="Z511" t="str">
        <f t="shared" si="429"/>
        <v>-4,91376293938771+31,214028420005i</v>
      </c>
      <c r="AA511" s="4">
        <f t="shared" si="443"/>
        <v>31.5984277524908</v>
      </c>
      <c r="AB511" s="4">
        <f t="shared" si="444"/>
        <v>1.7269365621553</v>
      </c>
      <c r="AC511" s="67" t="str">
        <f t="shared" si="445"/>
        <v>-2,63210146119129+0,423076826706804i</v>
      </c>
      <c r="AD511" s="68">
        <f t="shared" si="446"/>
        <v>8.5168338856162</v>
      </c>
      <c r="AE511" s="31">
        <f t="shared" si="447"/>
        <v>170.868539279652</v>
      </c>
      <c r="AF511" s="32" t="str">
        <f t="shared" si="448"/>
        <v>326,048966736478</v>
      </c>
      <c r="AG511" s="32" t="str">
        <f t="shared" si="430"/>
        <v>1+4492,20073345246i</v>
      </c>
      <c r="AH511" s="32">
        <f t="shared" si="449"/>
        <v>4492.20084475648</v>
      </c>
      <c r="AI511" s="32">
        <f t="shared" si="450"/>
        <v>1.5705737187587</v>
      </c>
      <c r="AJ511" s="32" t="str">
        <f t="shared" si="431"/>
        <v>1+83,8544136911126i</v>
      </c>
      <c r="AK511" s="32">
        <f t="shared" si="451"/>
        <v>83.8603761944832</v>
      </c>
      <c r="AL511" s="32">
        <f t="shared" si="452"/>
        <v>1.55887146136767</v>
      </c>
      <c r="AM511" s="32" t="str">
        <f t="shared" si="432"/>
        <v>1-13,8388973741429i</v>
      </c>
      <c r="AN511" s="32">
        <f t="shared" si="453"/>
        <v>13.8749803795198</v>
      </c>
      <c r="AO511" s="32">
        <f t="shared" si="454"/>
        <v>-1.49866161124364</v>
      </c>
      <c r="AP511" s="30" t="str">
        <f t="shared" si="455"/>
        <v>5,10057019015392-84,2983985662034i</v>
      </c>
      <c r="AQ511" s="32">
        <f t="shared" si="456"/>
        <v>38.5322569406141</v>
      </c>
      <c r="AR511" s="31">
        <f t="shared" si="457"/>
        <v>-86.5374752018177</v>
      </c>
      <c r="AS511" t="str">
        <f t="shared" si="433"/>
        <v>-0,000100699300699301</v>
      </c>
      <c r="AT511" t="str">
        <f t="shared" si="434"/>
        <v>1,20166369619853i</v>
      </c>
      <c r="AU511">
        <f t="shared" si="458"/>
        <v>1.20166369619853</v>
      </c>
      <c r="AV511">
        <f t="shared" si="459"/>
        <v>1.5707963267949</v>
      </c>
      <c r="AW511" t="str">
        <f t="shared" si="435"/>
        <v>1+61,5229771757826i</v>
      </c>
      <c r="AX511">
        <f t="shared" si="460"/>
        <v>61.5311036840058</v>
      </c>
      <c r="AY511">
        <f t="shared" si="461"/>
        <v>1.55454366811821</v>
      </c>
      <c r="AZ511" t="str">
        <f t="shared" si="436"/>
        <v>1+2941,32190880815i</v>
      </c>
      <c r="BA511">
        <f t="shared" si="462"/>
        <v>2941.32207879974</v>
      </c>
      <c r="BB511">
        <f t="shared" si="463"/>
        <v>1.57045634361982</v>
      </c>
      <c r="BC511" s="30" t="str">
        <f t="shared" si="464"/>
        <v>-0,0000637406180035637+0,00400531248920345i</v>
      </c>
      <c r="BD511" s="32">
        <f t="shared" si="465"/>
        <v>-47.946172165944</v>
      </c>
      <c r="BE511" s="31">
        <f t="shared" si="466"/>
        <v>90.9117291470035</v>
      </c>
      <c r="BF511" s="30" t="str">
        <f t="shared" si="467"/>
        <v>-0,00152678312411691-0,0105693560337574i</v>
      </c>
      <c r="BG511" s="68">
        <f t="shared" si="468"/>
        <v>-39.4293382803278</v>
      </c>
      <c r="BH511" s="31">
        <f t="shared" si="469"/>
        <v>-98.2197315733441</v>
      </c>
      <c r="BI511" s="30" t="str">
        <f t="shared" si="476"/>
        <v>0,337316315100974+0,0258026095060028i</v>
      </c>
      <c r="BJ511" s="68">
        <f t="shared" si="470"/>
        <v>-9.41391522532992</v>
      </c>
      <c r="BK511" s="31">
        <f t="shared" si="477"/>
        <v>4.37425394518573</v>
      </c>
      <c r="BL511" s="32">
        <f t="shared" si="471"/>
        <v>-39.4293382803278</v>
      </c>
      <c r="BM511" s="31">
        <f t="shared" si="472"/>
        <v>-98.2197315733441</v>
      </c>
      <c r="BO511">
        <f t="shared" si="473"/>
        <v>0</v>
      </c>
      <c r="BP511">
        <f t="shared" si="474"/>
        <v>0</v>
      </c>
    </row>
    <row r="512" spans="14:68">
      <c r="N512" s="7">
        <v>94</v>
      </c>
      <c r="O512" s="18">
        <f t="shared" si="475"/>
        <v>870963.589956081</v>
      </c>
      <c r="P512" s="86" t="str">
        <f t="shared" si="425"/>
        <v>60</v>
      </c>
      <c r="Q512" s="4" t="str">
        <f t="shared" si="426"/>
        <v>1+7150,63615849389i</v>
      </c>
      <c r="R512" s="4">
        <f t="shared" si="437"/>
        <v>7150.63622841774</v>
      </c>
      <c r="S512" s="4">
        <f t="shared" si="438"/>
        <v>1.57065647909865</v>
      </c>
      <c r="T512" s="4" t="str">
        <f t="shared" si="427"/>
        <v>1+85,8076339019268i</v>
      </c>
      <c r="U512" s="4">
        <f t="shared" si="439"/>
        <v>85.8134606914737</v>
      </c>
      <c r="V512" s="4">
        <f t="shared" si="440"/>
        <v>1.55914287958387</v>
      </c>
      <c r="W512" t="str">
        <f t="shared" si="428"/>
        <v>1-119,709310689072i</v>
      </c>
      <c r="X512" s="4">
        <f t="shared" si="441"/>
        <v>119.713487400764</v>
      </c>
      <c r="Y512" s="4">
        <f t="shared" si="442"/>
        <v>-1.56244295198627</v>
      </c>
      <c r="Z512" t="str">
        <f t="shared" si="429"/>
        <v>-5,19247000023827+31,9410965430434i</v>
      </c>
      <c r="AA512" s="4">
        <f t="shared" si="443"/>
        <v>32.3603985308493</v>
      </c>
      <c r="AB512" s="4">
        <f t="shared" si="444"/>
        <v>1.73195051042065</v>
      </c>
      <c r="AC512" s="67" t="str">
        <f t="shared" si="445"/>
        <v>-2,62785756877638+0,435723335532041i</v>
      </c>
      <c r="AD512" s="68">
        <f t="shared" si="446"/>
        <v>8.50982406204167</v>
      </c>
      <c r="AE512" s="31">
        <f t="shared" si="447"/>
        <v>170.585477889393</v>
      </c>
      <c r="AF512" s="32" t="str">
        <f t="shared" si="448"/>
        <v>326,048966736478</v>
      </c>
      <c r="AG512" s="32" t="str">
        <f t="shared" si="430"/>
        <v>1+4596,83753046036i</v>
      </c>
      <c r="AH512" s="32">
        <f t="shared" si="449"/>
        <v>4596.83763923079</v>
      </c>
      <c r="AI512" s="32">
        <f t="shared" si="450"/>
        <v>1.57057878593608</v>
      </c>
      <c r="AJ512" s="32" t="str">
        <f t="shared" si="431"/>
        <v>1+85,8076339019268i</v>
      </c>
      <c r="AK512" s="32">
        <f t="shared" si="451"/>
        <v>85.8134606914737</v>
      </c>
      <c r="AL512" s="32">
        <f t="shared" si="452"/>
        <v>1.55914287958387</v>
      </c>
      <c r="AM512" s="32" t="str">
        <f t="shared" si="432"/>
        <v>1-14,1612467038529i</v>
      </c>
      <c r="AN512" s="32">
        <f t="shared" si="453"/>
        <v>14.1965104236</v>
      </c>
      <c r="AO512" s="32">
        <f t="shared" si="454"/>
        <v>-1.50029809983502</v>
      </c>
      <c r="AP512" s="30" t="str">
        <f t="shared" si="455"/>
        <v>5,10056947433868-86,2586700269215i</v>
      </c>
      <c r="AQ512" s="32">
        <f t="shared" si="456"/>
        <v>38.7312137156934</v>
      </c>
      <c r="AR512" s="31">
        <f t="shared" si="457"/>
        <v>-86.6159783009324</v>
      </c>
      <c r="AS512" t="str">
        <f t="shared" si="433"/>
        <v>-0,000100699300699301</v>
      </c>
      <c r="AT512" t="str">
        <f t="shared" si="434"/>
        <v>1,22965403939815i</v>
      </c>
      <c r="AU512">
        <f t="shared" si="458"/>
        <v>1.22965403939815</v>
      </c>
      <c r="AV512">
        <f t="shared" si="459"/>
        <v>1.5707963267949</v>
      </c>
      <c r="AW512" t="str">
        <f t="shared" si="435"/>
        <v>1+62,956031408227i</v>
      </c>
      <c r="AX512">
        <f t="shared" si="460"/>
        <v>62.9639729581422</v>
      </c>
      <c r="AY512">
        <f t="shared" si="461"/>
        <v>1.55491356085808</v>
      </c>
      <c r="AZ512" t="str">
        <f t="shared" si="436"/>
        <v>1+3009,83409732523i</v>
      </c>
      <c r="BA512">
        <f t="shared" si="462"/>
        <v>3009.83426344734</v>
      </c>
      <c r="BB512">
        <f t="shared" si="463"/>
        <v>1.57046408258114</v>
      </c>
      <c r="BC512" s="30" t="str">
        <f t="shared" si="464"/>
        <v>-0,0000608725412510266+0,00391418600283134i</v>
      </c>
      <c r="BD512" s="32">
        <f t="shared" si="465"/>
        <v>-48.1461205609844</v>
      </c>
      <c r="BE512" s="31">
        <f t="shared" si="466"/>
        <v>90.890979263958</v>
      </c>
      <c r="BF512" s="30" t="str">
        <f t="shared" si="467"/>
        <v>-0,00154553781278934-0,0103124468998551i</v>
      </c>
      <c r="BG512" s="68">
        <f t="shared" si="468"/>
        <v>-39.6362964989427</v>
      </c>
      <c r="BH512" s="31">
        <f t="shared" si="469"/>
        <v>-98.5235428466494</v>
      </c>
      <c r="BI512" s="30" t="str">
        <f t="shared" si="476"/>
        <v>0,337321994216493+0,0252153620923977i</v>
      </c>
      <c r="BJ512" s="68">
        <f t="shared" si="470"/>
        <v>-9.41490684529097</v>
      </c>
      <c r="BK512" s="31">
        <f t="shared" si="477"/>
        <v>4.27500096302558</v>
      </c>
      <c r="BL512" s="32">
        <f t="shared" si="471"/>
        <v>-39.6362964989427</v>
      </c>
      <c r="BM512" s="31">
        <f t="shared" si="472"/>
        <v>-98.5235428466494</v>
      </c>
      <c r="BO512">
        <f t="shared" si="473"/>
        <v>0</v>
      </c>
      <c r="BP512">
        <f t="shared" si="474"/>
        <v>0</v>
      </c>
    </row>
    <row r="513" spans="14:68">
      <c r="N513" s="7">
        <v>95</v>
      </c>
      <c r="O513" s="18">
        <f t="shared" si="475"/>
        <v>891250.938133747</v>
      </c>
      <c r="P513" s="86" t="str">
        <f t="shared" si="425"/>
        <v>60</v>
      </c>
      <c r="Q513" s="4" t="str">
        <f t="shared" si="426"/>
        <v>1+7317,19587133618i</v>
      </c>
      <c r="R513" s="4">
        <f t="shared" si="437"/>
        <v>7317.19593966837</v>
      </c>
      <c r="S513" s="4">
        <f t="shared" si="438"/>
        <v>1.57065966242082</v>
      </c>
      <c r="T513" s="4" t="str">
        <f t="shared" si="427"/>
        <v>1+87,8063504560343i</v>
      </c>
      <c r="U513" s="4">
        <f t="shared" si="439"/>
        <v>87.812044620359</v>
      </c>
      <c r="V513" s="4">
        <f t="shared" si="440"/>
        <v>1.55940812122635</v>
      </c>
      <c r="W513" t="str">
        <f t="shared" si="428"/>
        <v>1-122,497698738887i</v>
      </c>
      <c r="X513" s="4">
        <f t="shared" si="441"/>
        <v>122.501780380218</v>
      </c>
      <c r="Y513" s="4">
        <f t="shared" si="442"/>
        <v>-1.56263308946569</v>
      </c>
      <c r="Z513" t="str">
        <f t="shared" si="429"/>
        <v>-5,48431212019826+32,6851002582594i</v>
      </c>
      <c r="AA513" s="4">
        <f t="shared" si="443"/>
        <v>33.1420195269423</v>
      </c>
      <c r="AB513" s="4">
        <f t="shared" si="444"/>
        <v>1.73704013290426</v>
      </c>
      <c r="AC513" s="67" t="str">
        <f t="shared" si="445"/>
        <v>-2,62341960950266+0,448524294969097i</v>
      </c>
      <c r="AD513" s="68">
        <f t="shared" si="446"/>
        <v>8.5024817356814</v>
      </c>
      <c r="AE513" s="31">
        <f t="shared" si="447"/>
        <v>170.297984762409</v>
      </c>
      <c r="AF513" s="32" t="str">
        <f t="shared" si="448"/>
        <v>326,048966736478</v>
      </c>
      <c r="AG513" s="32" t="str">
        <f t="shared" si="430"/>
        <v>1+4703,91163157327i</v>
      </c>
      <c r="AH513" s="32">
        <f t="shared" si="449"/>
        <v>4703.91173786778</v>
      </c>
      <c r="AI513" s="32">
        <f t="shared" si="450"/>
        <v>1.57058373777043</v>
      </c>
      <c r="AJ513" s="32" t="str">
        <f t="shared" si="431"/>
        <v>1+87,8063504560343i</v>
      </c>
      <c r="AK513" s="32">
        <f t="shared" si="451"/>
        <v>87.812044620359</v>
      </c>
      <c r="AL513" s="32">
        <f t="shared" si="452"/>
        <v>1.55940812122635</v>
      </c>
      <c r="AM513" s="32" t="str">
        <f t="shared" si="432"/>
        <v>1-14,4911045140117i</v>
      </c>
      <c r="AN513" s="32">
        <f t="shared" si="453"/>
        <v>14.5255674600344</v>
      </c>
      <c r="AO513" s="32">
        <f t="shared" si="454"/>
        <v>-1.50189770295806</v>
      </c>
      <c r="AP513" s="30" t="str">
        <f t="shared" si="455"/>
        <v>5,10056879074041-88,2646769762429i</v>
      </c>
      <c r="AQ513" s="32">
        <f t="shared" si="456"/>
        <v>38.9302172217767</v>
      </c>
      <c r="AR513" s="31">
        <f t="shared" si="457"/>
        <v>-86.6927153013221</v>
      </c>
      <c r="AS513" t="str">
        <f t="shared" si="433"/>
        <v>-0,000100699300699301</v>
      </c>
      <c r="AT513" t="str">
        <f t="shared" si="434"/>
        <v>1,25829636144585i</v>
      </c>
      <c r="AU513">
        <f t="shared" si="458"/>
        <v>1.25829636144585</v>
      </c>
      <c r="AV513">
        <f t="shared" si="459"/>
        <v>1.5707963267949</v>
      </c>
      <c r="AW513" t="str">
        <f t="shared" si="435"/>
        <v>1+64,4224657618459i</v>
      </c>
      <c r="AX513">
        <f t="shared" si="460"/>
        <v>64.4302265620431</v>
      </c>
      <c r="AY513">
        <f t="shared" si="461"/>
        <v>1.55527503801129</v>
      </c>
      <c r="AZ513" t="str">
        <f t="shared" si="436"/>
        <v>1+3079,94213972059i</v>
      </c>
      <c r="BA513">
        <f t="shared" si="462"/>
        <v>3079.9423020613</v>
      </c>
      <c r="BB513">
        <f t="shared" si="463"/>
        <v>1.57047164538223</v>
      </c>
      <c r="BC513" s="30" t="str">
        <f t="shared" si="464"/>
        <v>-0,0000581334855600253+0,00382513076879974i</v>
      </c>
      <c r="BD513" s="32">
        <f t="shared" si="465"/>
        <v>-48.3460712780575</v>
      </c>
      <c r="BE513" s="31">
        <f t="shared" si="466"/>
        <v>90.8707014652723</v>
      </c>
      <c r="BF513" s="30" t="str">
        <f t="shared" si="467"/>
        <v>-0,00156315555525359-0,0100609973484061i</v>
      </c>
      <c r="BG513" s="68">
        <f t="shared" si="468"/>
        <v>-39.8435895423762</v>
      </c>
      <c r="BH513" s="31">
        <f t="shared" si="469"/>
        <v>-98.8313137723191</v>
      </c>
      <c r="BI513" s="30" t="str">
        <f t="shared" si="476"/>
        <v>0,337327417857852+0,0246414759442995i</v>
      </c>
      <c r="BJ513" s="68">
        <f t="shared" si="470"/>
        <v>-9.41585405628086</v>
      </c>
      <c r="BK513" s="31">
        <f t="shared" si="477"/>
        <v>4.17798616395014</v>
      </c>
      <c r="BL513" s="32">
        <f t="shared" si="471"/>
        <v>-39.8435895423762</v>
      </c>
      <c r="BM513" s="31">
        <f t="shared" si="472"/>
        <v>-98.8313137723191</v>
      </c>
      <c r="BO513">
        <f t="shared" si="473"/>
        <v>0</v>
      </c>
      <c r="BP513">
        <f t="shared" si="474"/>
        <v>0</v>
      </c>
    </row>
    <row r="514" spans="14:68">
      <c r="N514" s="7">
        <v>96</v>
      </c>
      <c r="O514" s="18">
        <f t="shared" si="475"/>
        <v>912010.839355911</v>
      </c>
      <c r="P514" s="86" t="str">
        <f t="shared" si="425"/>
        <v>60</v>
      </c>
      <c r="Q514" s="4" t="str">
        <f t="shared" si="426"/>
        <v>1+7487,63525828398i</v>
      </c>
      <c r="R514" s="4">
        <f t="shared" si="437"/>
        <v>7487.63532506074</v>
      </c>
      <c r="S514" s="4">
        <f t="shared" si="438"/>
        <v>1.57066277328173</v>
      </c>
      <c r="T514" s="4" t="str">
        <f t="shared" si="427"/>
        <v>1+89,8516230994079i</v>
      </c>
      <c r="U514" s="4">
        <f t="shared" si="439"/>
        <v>89.8571876568483</v>
      </c>
      <c r="V514" s="4">
        <f t="shared" si="440"/>
        <v>1.55966732678037</v>
      </c>
      <c r="W514" t="str">
        <f t="shared" si="428"/>
        <v>1-125,351036690022i</v>
      </c>
      <c r="X514" s="4">
        <f t="shared" si="441"/>
        <v>125.355025424844</v>
      </c>
      <c r="Y514" s="4">
        <f t="shared" si="442"/>
        <v>-1.56281889945804</v>
      </c>
      <c r="Z514" t="str">
        <f t="shared" si="429"/>
        <v>-5,78990833553206+33,4464340462707i</v>
      </c>
      <c r="AA514" s="4">
        <f t="shared" si="443"/>
        <v>33.9438799925023</v>
      </c>
      <c r="AB514" s="4">
        <f t="shared" si="444"/>
        <v>1.74220745579217</v>
      </c>
      <c r="AC514" s="67" t="str">
        <f t="shared" si="445"/>
        <v>-2,61878025249796+0,461481401298147i</v>
      </c>
      <c r="AD514" s="68">
        <f t="shared" si="446"/>
        <v>8.49479307575016</v>
      </c>
      <c r="AE514" s="31">
        <f t="shared" si="447"/>
        <v>170.005945986268</v>
      </c>
      <c r="AF514" s="32" t="str">
        <f t="shared" si="448"/>
        <v>326,048966736478</v>
      </c>
      <c r="AG514" s="32" t="str">
        <f t="shared" si="430"/>
        <v>1+4813,47980889685i</v>
      </c>
      <c r="AH514" s="32">
        <f t="shared" si="449"/>
        <v>4813.4799127718</v>
      </c>
      <c r="AI514" s="32">
        <f t="shared" si="450"/>
        <v>1.57058857688728</v>
      </c>
      <c r="AJ514" s="32" t="str">
        <f t="shared" si="431"/>
        <v>1+89,8516230994079i</v>
      </c>
      <c r="AK514" s="32">
        <f t="shared" si="451"/>
        <v>89.8571876568483</v>
      </c>
      <c r="AL514" s="32">
        <f t="shared" si="452"/>
        <v>1.55966732678037</v>
      </c>
      <c r="AM514" s="32" t="str">
        <f t="shared" si="432"/>
        <v>1-14,8286456995961i</v>
      </c>
      <c r="AN514" s="32">
        <f t="shared" si="453"/>
        <v>14.8623259715345</v>
      </c>
      <c r="AO514" s="32">
        <f t="shared" si="454"/>
        <v>-1.50346123598147</v>
      </c>
      <c r="AP514" s="30" t="str">
        <f t="shared" si="455"/>
        <v>5,10056813790917-90,3174830256043i</v>
      </c>
      <c r="AQ514" s="32">
        <f t="shared" si="456"/>
        <v>39.1292653750523</v>
      </c>
      <c r="AR514" s="31">
        <f t="shared" si="457"/>
        <v>-86.7677250213934</v>
      </c>
      <c r="AS514" t="str">
        <f t="shared" si="433"/>
        <v>-0,000100699300699301</v>
      </c>
      <c r="AT514" t="str">
        <f t="shared" si="434"/>
        <v>1,28760584887991i</v>
      </c>
      <c r="AU514">
        <f t="shared" si="458"/>
        <v>1.28760584887991</v>
      </c>
      <c r="AV514">
        <f t="shared" si="459"/>
        <v>1.5707963267949</v>
      </c>
      <c r="AW514" t="str">
        <f t="shared" si="435"/>
        <v>1+65,9230577595437i</v>
      </c>
      <c r="AX514">
        <f t="shared" si="460"/>
        <v>65.9306419229188</v>
      </c>
      <c r="AY514">
        <f t="shared" si="461"/>
        <v>1.55562829085974</v>
      </c>
      <c r="AZ514" t="str">
        <f t="shared" si="436"/>
        <v>1+3151,68320820627i</v>
      </c>
      <c r="BA514">
        <f t="shared" si="462"/>
        <v>3151.68336685165</v>
      </c>
      <c r="BB514">
        <f t="shared" si="463"/>
        <v>1.57047903603298</v>
      </c>
      <c r="BC514" s="30" t="str">
        <f t="shared" si="464"/>
        <v>-0,0000555176496253071+0,00373809984243098i</v>
      </c>
      <c r="BD514" s="32">
        <f t="shared" si="465"/>
        <v>-48.5460242127053</v>
      </c>
      <c r="BE514" s="31">
        <f t="shared" si="466"/>
        <v>90.8508850210513</v>
      </c>
      <c r="BF514" s="30" t="str">
        <f t="shared" si="467"/>
        <v>-0,00157967502897358-0,00981488241196985i</v>
      </c>
      <c r="BG514" s="68">
        <f t="shared" si="468"/>
        <v>-40.0512311369551</v>
      </c>
      <c r="BH514" s="31">
        <f t="shared" si="469"/>
        <v>-99.1431689926809</v>
      </c>
      <c r="BI514" s="30" t="str">
        <f t="shared" si="476"/>
        <v>0,337332597512004+0,0240806473302819i</v>
      </c>
      <c r="BJ514" s="68">
        <f t="shared" si="470"/>
        <v>-9.41675883765297</v>
      </c>
      <c r="BK514" s="31">
        <f t="shared" si="477"/>
        <v>4.08315999965789</v>
      </c>
      <c r="BL514" s="32">
        <f t="shared" si="471"/>
        <v>-40.0512311369551</v>
      </c>
      <c r="BM514" s="31">
        <f t="shared" si="472"/>
        <v>-99.1431689926809</v>
      </c>
      <c r="BO514">
        <f t="shared" si="473"/>
        <v>0</v>
      </c>
      <c r="BP514">
        <f t="shared" si="474"/>
        <v>0</v>
      </c>
    </row>
    <row r="515" spans="14:68">
      <c r="N515" s="7">
        <v>97</v>
      </c>
      <c r="O515" s="18">
        <f t="shared" si="475"/>
        <v>933254.300796992</v>
      </c>
      <c r="P515" s="86" t="str">
        <f t="shared" si="425"/>
        <v>60</v>
      </c>
      <c r="Q515" s="4" t="str">
        <f t="shared" si="426"/>
        <v>1+7662,0446885563i</v>
      </c>
      <c r="R515" s="4">
        <f t="shared" si="437"/>
        <v>7662.04475381303</v>
      </c>
      <c r="S515" s="4">
        <f t="shared" si="438"/>
        <v>1.57066581333081</v>
      </c>
      <c r="T515" s="4" t="str">
        <f t="shared" si="427"/>
        <v>1+91,9445362626756i</v>
      </c>
      <c r="U515" s="4">
        <f t="shared" si="439"/>
        <v>91.9499741629027</v>
      </c>
      <c r="V515" s="4">
        <f t="shared" si="440"/>
        <v>1.55992063354075</v>
      </c>
      <c r="W515" t="str">
        <f t="shared" si="428"/>
        <v>1-128,270837420027i</v>
      </c>
      <c r="X515" s="4">
        <f t="shared" si="441"/>
        <v>128.274735362951</v>
      </c>
      <c r="Y515" s="4">
        <f t="shared" si="442"/>
        <v>-1.56300048043087</v>
      </c>
      <c r="Z515" t="str">
        <f t="shared" si="429"/>
        <v>-6,10990685678439+34,2255015763292i</v>
      </c>
      <c r="AA515" s="4">
        <f t="shared" si="443"/>
        <v>34.7665920094261</v>
      </c>
      <c r="AB515" s="4">
        <f t="shared" si="444"/>
        <v>1.74745450257623</v>
      </c>
      <c r="AC515" s="67" t="str">
        <f t="shared" si="445"/>
        <v>-2,6139319247586+0,474596120721396i</v>
      </c>
      <c r="AD515" s="68">
        <f t="shared" si="446"/>
        <v>8.48674367628445</v>
      </c>
      <c r="AE515" s="31">
        <f t="shared" si="447"/>
        <v>169.709247753561</v>
      </c>
      <c r="AF515" s="32" t="str">
        <f t="shared" si="448"/>
        <v>326,048966736478</v>
      </c>
      <c r="AG515" s="32" t="str">
        <f t="shared" si="430"/>
        <v>1+4925,60015692905i</v>
      </c>
      <c r="AH515" s="32">
        <f t="shared" si="449"/>
        <v>4925.60025843952</v>
      </c>
      <c r="AI515" s="32">
        <f t="shared" si="450"/>
        <v>1.57059330585239</v>
      </c>
      <c r="AJ515" s="32" t="str">
        <f t="shared" si="431"/>
        <v>1+91,9445362626756i</v>
      </c>
      <c r="AK515" s="32">
        <f t="shared" si="451"/>
        <v>91.9499741629027</v>
      </c>
      <c r="AL515" s="32">
        <f t="shared" si="452"/>
        <v>1.55992063354075</v>
      </c>
      <c r="AM515" s="32" t="str">
        <f t="shared" si="432"/>
        <v>1-15,1740492294109i</v>
      </c>
      <c r="AN515" s="32">
        <f t="shared" si="453"/>
        <v>15.206964523421</v>
      </c>
      <c r="AO515" s="32">
        <f t="shared" si="454"/>
        <v>-1.50498949731583</v>
      </c>
      <c r="AP515" s="30" t="str">
        <f t="shared" si="455"/>
        <v>5,10056751446013-92,4181765999476i</v>
      </c>
      <c r="AQ515" s="32">
        <f t="shared" si="456"/>
        <v>39.3283561837979</v>
      </c>
      <c r="AR515" s="31">
        <f t="shared" si="457"/>
        <v>-86.8410454872959</v>
      </c>
      <c r="AS515" t="str">
        <f t="shared" si="433"/>
        <v>-0,000100699300699301</v>
      </c>
      <c r="AT515" t="str">
        <f t="shared" si="434"/>
        <v>1,31759804197852i</v>
      </c>
      <c r="AU515">
        <f t="shared" si="458"/>
        <v>1.31759804197852</v>
      </c>
      <c r="AV515">
        <f t="shared" si="459"/>
        <v>1.5707963267949</v>
      </c>
      <c r="AW515" t="str">
        <f t="shared" si="435"/>
        <v>1+67,4586030350605i</v>
      </c>
      <c r="AX515">
        <f t="shared" si="460"/>
        <v>67.4660145809864</v>
      </c>
      <c r="AY515">
        <f t="shared" si="461"/>
        <v>1.55597350634991</v>
      </c>
      <c r="AZ515" t="str">
        <f t="shared" si="436"/>
        <v>1+3225,0953408464i</v>
      </c>
      <c r="BA515">
        <f t="shared" si="462"/>
        <v>3225.09549588057</v>
      </c>
      <c r="BB515">
        <f t="shared" si="463"/>
        <v>1.57048625845202</v>
      </c>
      <c r="BC515" s="30" t="str">
        <f t="shared" si="464"/>
        <v>-0,0000530194927509639+0,00365304733411564i</v>
      </c>
      <c r="BD515" s="32">
        <f t="shared" si="465"/>
        <v>-48.7459792651663</v>
      </c>
      <c r="BE515" s="31">
        <f t="shared" si="466"/>
        <v>90.8315194445708</v>
      </c>
      <c r="BF515" s="30" t="str">
        <f t="shared" si="467"/>
        <v>-0,00159513274884667-0,00957397989488139i</v>
      </c>
      <c r="BG515" s="68">
        <f t="shared" si="468"/>
        <v>-40.2592355888818</v>
      </c>
      <c r="BH515" s="31">
        <f t="shared" si="469"/>
        <v>-99.4592328018687</v>
      </c>
      <c r="BI515" s="30" t="str">
        <f t="shared" si="476"/>
        <v>0,337337544149908+0,0235325794054736i</v>
      </c>
      <c r="BJ515" s="68">
        <f t="shared" si="470"/>
        <v>-9.41762308136834</v>
      </c>
      <c r="BK515" s="31">
        <f t="shared" si="477"/>
        <v>3.99047395727484</v>
      </c>
      <c r="BL515" s="32">
        <f t="shared" si="471"/>
        <v>-40.2592355888818</v>
      </c>
      <c r="BM515" s="31">
        <f t="shared" si="472"/>
        <v>-99.4592328018687</v>
      </c>
      <c r="BO515">
        <f t="shared" si="473"/>
        <v>0</v>
      </c>
      <c r="BP515">
        <f t="shared" si="474"/>
        <v>0</v>
      </c>
    </row>
    <row r="516" spans="14:68">
      <c r="N516" s="7">
        <v>98</v>
      </c>
      <c r="O516" s="18">
        <f t="shared" si="475"/>
        <v>954992.586021437</v>
      </c>
      <c r="P516" s="86" t="str">
        <f t="shared" si="425"/>
        <v>60</v>
      </c>
      <c r="Q516" s="4" t="str">
        <f t="shared" si="426"/>
        <v>1+7840,51663634163i</v>
      </c>
      <c r="R516" s="4">
        <f t="shared" si="437"/>
        <v>7840.51670011294</v>
      </c>
      <c r="S516" s="4">
        <f t="shared" si="438"/>
        <v>1.57066878417992</v>
      </c>
      <c r="T516" s="4" t="str">
        <f t="shared" si="427"/>
        <v>1+94,0861996360996i</v>
      </c>
      <c r="U516" s="4">
        <f t="shared" si="439"/>
        <v>94.0915137616777</v>
      </c>
      <c r="V516" s="4">
        <f t="shared" si="440"/>
        <v>1.56016817568398</v>
      </c>
      <c r="W516" t="str">
        <f t="shared" si="428"/>
        <v>1-131,258649045898i</v>
      </c>
      <c r="X516" s="4">
        <f t="shared" si="441"/>
        <v>131.262458263413</v>
      </c>
      <c r="Y516" s="4">
        <f t="shared" si="442"/>
        <v>-1.56317792861291</v>
      </c>
      <c r="Z516" t="str">
        <f t="shared" si="429"/>
        <v>-6,44498644372176+35,0227159203516i</v>
      </c>
      <c r="AA516" s="4">
        <f t="shared" si="443"/>
        <v>35.6107916325572</v>
      </c>
      <c r="AB516" s="4">
        <f t="shared" si="444"/>
        <v>1.75278329239272</v>
      </c>
      <c r="AC516" s="67" t="str">
        <f t="shared" si="445"/>
        <v>-2,60886681070335+0,487869672961515i</v>
      </c>
      <c r="AD516" s="68">
        <f t="shared" si="446"/>
        <v>8.47831853969142</v>
      </c>
      <c r="AE516" s="31">
        <f t="shared" si="447"/>
        <v>169.407776458194</v>
      </c>
      <c r="AF516" s="32" t="str">
        <f t="shared" si="448"/>
        <v>326,048966736478</v>
      </c>
      <c r="AG516" s="32" t="str">
        <f t="shared" si="430"/>
        <v>1+5040,33212336248i</v>
      </c>
      <c r="AH516" s="32">
        <f t="shared" si="449"/>
        <v>5040.33222256229</v>
      </c>
      <c r="AI516" s="32">
        <f t="shared" si="450"/>
        <v>1.57059792717312</v>
      </c>
      <c r="AJ516" s="32" t="str">
        <f t="shared" si="431"/>
        <v>1+94,0861996360996i</v>
      </c>
      <c r="AK516" s="32">
        <f t="shared" si="451"/>
        <v>94.0915137616777</v>
      </c>
      <c r="AL516" s="32">
        <f t="shared" si="452"/>
        <v>1.56016817568398</v>
      </c>
      <c r="AM516" s="32" t="str">
        <f t="shared" si="432"/>
        <v>1-15,5274982409793i</v>
      </c>
      <c r="AN516" s="32">
        <f t="shared" si="453"/>
        <v>15.5596658583536</v>
      </c>
      <c r="AO516" s="32">
        <f t="shared" si="454"/>
        <v>-1.50648326869441</v>
      </c>
      <c r="AP516" s="30" t="str">
        <f t="shared" si="455"/>
        <v>5,10056691907095-94,5678715148113i</v>
      </c>
      <c r="AQ516" s="32">
        <f t="shared" si="456"/>
        <v>39.5274877443831</v>
      </c>
      <c r="AR516" s="31">
        <f t="shared" si="457"/>
        <v>-86.912713944961</v>
      </c>
      <c r="AS516" t="str">
        <f t="shared" si="433"/>
        <v>-0,000100699300699301</v>
      </c>
      <c r="AT516" t="str">
        <f t="shared" si="434"/>
        <v>1,34828884299946i</v>
      </c>
      <c r="AU516">
        <f t="shared" si="458"/>
        <v>1.34828884299946</v>
      </c>
      <c r="AV516">
        <f t="shared" si="459"/>
        <v>1.5707963267949</v>
      </c>
      <c r="AW516" t="str">
        <f t="shared" si="435"/>
        <v>1+69,0299157548266i</v>
      </c>
      <c r="AX516">
        <f t="shared" si="460"/>
        <v>69.0371586112758</v>
      </c>
      <c r="AY516">
        <f t="shared" si="461"/>
        <v>1.5563108671903</v>
      </c>
      <c r="AZ516" t="str">
        <f t="shared" si="436"/>
        <v>1+3300,21746172543i</v>
      </c>
      <c r="BA516">
        <f t="shared" si="462"/>
        <v>3300.21761323059</v>
      </c>
      <c r="BB516">
        <f t="shared" si="463"/>
        <v>1.57049331646876</v>
      </c>
      <c r="BC516" s="30" t="str">
        <f t="shared" si="464"/>
        <v>-0,0000506337231643724+0,00356992838619754i</v>
      </c>
      <c r="BD516" s="32">
        <f t="shared" si="465"/>
        <v>-48.9459363401651</v>
      </c>
      <c r="BE516" s="31">
        <f t="shared" si="466"/>
        <v>90.8125944868139</v>
      </c>
      <c r="BF516" s="30" t="str">
        <f t="shared" si="467"/>
        <v>-0,00160956315440435-0,00933817034129956i</v>
      </c>
      <c r="BG516" s="68">
        <f t="shared" si="468"/>
        <v>-40.4676178004737</v>
      </c>
      <c r="BH516" s="31">
        <f t="shared" si="469"/>
        <v>-99.7796290549921</v>
      </c>
      <c r="BI516" s="30" t="str">
        <f t="shared" si="476"/>
        <v>0,337342268249645+0,0229969820566164i</v>
      </c>
      <c r="BJ516" s="68">
        <f t="shared" si="470"/>
        <v>-9.41844859578203</v>
      </c>
      <c r="BK516" s="31">
        <f t="shared" si="477"/>
        <v>3.89988054185296</v>
      </c>
      <c r="BL516" s="32">
        <f t="shared" si="471"/>
        <v>-40.4676178004737</v>
      </c>
      <c r="BM516" s="31">
        <f t="shared" si="472"/>
        <v>-99.7796290549921</v>
      </c>
      <c r="BO516">
        <f t="shared" si="473"/>
        <v>0</v>
      </c>
      <c r="BP516">
        <f t="shared" si="474"/>
        <v>0</v>
      </c>
    </row>
    <row r="517" spans="14:68">
      <c r="N517" s="7">
        <v>99</v>
      </c>
      <c r="O517" s="18">
        <f t="shared" si="475"/>
        <v>977237.220955812</v>
      </c>
      <c r="P517" s="86" t="str">
        <f t="shared" si="425"/>
        <v>60</v>
      </c>
      <c r="Q517" s="4" t="str">
        <f t="shared" si="426"/>
        <v>1+8023,14572982906i</v>
      </c>
      <c r="R517" s="4">
        <f t="shared" si="437"/>
        <v>8023.14579214876</v>
      </c>
      <c r="S517" s="4">
        <f t="shared" si="438"/>
        <v>1.57067168740425</v>
      </c>
      <c r="T517" s="4" t="str">
        <f t="shared" si="427"/>
        <v>1+96,2777487579488i</v>
      </c>
      <c r="U517" s="4">
        <f t="shared" si="439"/>
        <v>96.2829419258609</v>
      </c>
      <c r="V517" s="4">
        <f t="shared" si="440"/>
        <v>1.56041008433876</v>
      </c>
      <c r="W517" t="str">
        <f t="shared" si="428"/>
        <v>1-134,316055744906i</v>
      </c>
      <c r="X517" s="4">
        <f t="shared" si="441"/>
        <v>134.319778256475</v>
      </c>
      <c r="Y517" s="4">
        <f t="shared" si="442"/>
        <v>-1.56335133804479</v>
      </c>
      <c r="Z517" t="str">
        <f t="shared" si="429"/>
        <v>-6,79585784507301+35,8384997719354i</v>
      </c>
      <c r="AA517" s="4">
        <f t="shared" si="443"/>
        <v>36.4771400983336</v>
      </c>
      <c r="AB517" s="4">
        <f t="shared" si="444"/>
        <v>1.7581958382126</v>
      </c>
      <c r="AC517" s="67" t="str">
        <f t="shared" si="445"/>
        <v>-2,60357685242388+0,501303014079271i</v>
      </c>
      <c r="AD517" s="68">
        <f t="shared" si="446"/>
        <v>8.4695020602314</v>
      </c>
      <c r="AE517" s="31">
        <f t="shared" si="447"/>
        <v>169.101418800164</v>
      </c>
      <c r="AF517" s="32" t="str">
        <f t="shared" si="448"/>
        <v>326,048966736478</v>
      </c>
      <c r="AG517" s="32" t="str">
        <f t="shared" si="430"/>
        <v>1+5157,7365406044i</v>
      </c>
      <c r="AH517" s="32">
        <f t="shared" si="449"/>
        <v>5157.73663754615</v>
      </c>
      <c r="AI517" s="32">
        <f t="shared" si="450"/>
        <v>1.57060244329976</v>
      </c>
      <c r="AJ517" s="32" t="str">
        <f t="shared" si="431"/>
        <v>1+96,2777487579488i</v>
      </c>
      <c r="AK517" s="32">
        <f t="shared" si="451"/>
        <v>96.2829419258609</v>
      </c>
      <c r="AL517" s="32">
        <f t="shared" si="452"/>
        <v>1.56041008433876</v>
      </c>
      <c r="AM517" s="32" t="str">
        <f t="shared" si="432"/>
        <v>1-15,8891801376459i</v>
      </c>
      <c r="AN517" s="32">
        <f t="shared" si="453"/>
        <v>15.9206169932751</v>
      </c>
      <c r="AO517" s="32">
        <f t="shared" si="454"/>
        <v>-1.5079433154545</v>
      </c>
      <c r="AP517" s="30" t="str">
        <f t="shared" si="455"/>
        <v>5,10056635047868-96,767707566896i</v>
      </c>
      <c r="AQ517" s="32">
        <f t="shared" si="456"/>
        <v>39.7266582374399</v>
      </c>
      <c r="AR517" s="31">
        <f t="shared" si="457"/>
        <v>-86.9827668722548</v>
      </c>
      <c r="AS517" t="str">
        <f t="shared" si="433"/>
        <v>-0,000100699300699301</v>
      </c>
      <c r="AT517" t="str">
        <f t="shared" si="434"/>
        <v>1,37969452461168i</v>
      </c>
      <c r="AU517">
        <f t="shared" si="458"/>
        <v>1.37969452461168</v>
      </c>
      <c r="AV517">
        <f t="shared" si="459"/>
        <v>1.5707963267949</v>
      </c>
      <c r="AW517" t="str">
        <f t="shared" si="435"/>
        <v>1+70,6378290496449i</v>
      </c>
      <c r="AX517">
        <f t="shared" si="460"/>
        <v>70.6449070552638</v>
      </c>
      <c r="AY517">
        <f t="shared" si="461"/>
        <v>1.55664055194677</v>
      </c>
      <c r="AZ517" t="str">
        <f t="shared" si="436"/>
        <v>1+3377,08940158621i</v>
      </c>
      <c r="BA517">
        <f t="shared" si="462"/>
        <v>3377.0895496427</v>
      </c>
      <c r="BB517">
        <f t="shared" si="463"/>
        <v>1.57050021382546</v>
      </c>
      <c r="BC517" s="30" t="str">
        <f t="shared" si="464"/>
        <v>-0,0000483552868522885+0,00348869915032489i</v>
      </c>
      <c r="BD517" s="32">
        <f t="shared" si="465"/>
        <v>-49.1458953467109</v>
      </c>
      <c r="BE517" s="31">
        <f t="shared" si="466"/>
        <v>90.794100131127</v>
      </c>
      <c r="BF517" s="30" t="str">
        <f t="shared" si="467"/>
        <v>-0,00162299869373272-0,00910733700390246i</v>
      </c>
      <c r="BG517" s="68">
        <f t="shared" si="468"/>
        <v>-40.6763932864795</v>
      </c>
      <c r="BH517" s="31">
        <f t="shared" si="469"/>
        <v>-100.104481068709</v>
      </c>
      <c r="BI517" s="30" t="str">
        <f t="shared" si="476"/>
        <v>0,337346779818531+0,0224735717505263i</v>
      </c>
      <c r="BJ517" s="68">
        <f t="shared" si="470"/>
        <v>-9.41923710927098</v>
      </c>
      <c r="BK517" s="31">
        <f t="shared" si="477"/>
        <v>3.81133325887213</v>
      </c>
      <c r="BL517" s="32">
        <f t="shared" si="471"/>
        <v>-40.6763932864795</v>
      </c>
      <c r="BM517" s="31">
        <f t="shared" si="472"/>
        <v>-100.104481068709</v>
      </c>
      <c r="BO517">
        <f t="shared" si="473"/>
        <v>0</v>
      </c>
      <c r="BP517">
        <f t="shared" si="474"/>
        <v>0</v>
      </c>
    </row>
    <row r="518" spans="14:68">
      <c r="N518" s="7">
        <v>100</v>
      </c>
      <c r="O518" s="18">
        <f t="shared" si="475"/>
        <v>1000000</v>
      </c>
      <c r="P518" s="86" t="str">
        <f t="shared" si="425"/>
        <v>60</v>
      </c>
      <c r="Q518" s="4" t="str">
        <f t="shared" si="426"/>
        <v>1+8210,02880138133i</v>
      </c>
      <c r="R518" s="4">
        <f t="shared" si="437"/>
        <v>8210.02886228246</v>
      </c>
      <c r="S518" s="4">
        <f t="shared" si="438"/>
        <v>1.57067452454313</v>
      </c>
      <c r="T518" s="4" t="str">
        <f t="shared" si="427"/>
        <v>1+98,520345616576i</v>
      </c>
      <c r="U518" s="4">
        <f t="shared" si="439"/>
        <v>98.5254205797143</v>
      </c>
      <c r="V518" s="4">
        <f t="shared" si="440"/>
        <v>1.56064648765496</v>
      </c>
      <c r="W518" t="str">
        <f t="shared" si="428"/>
        <v>1-137,444678594554i</v>
      </c>
      <c r="X518" s="4">
        <f t="shared" si="441"/>
        <v>137.448316373684</v>
      </c>
      <c r="Y518" s="4">
        <f t="shared" si="442"/>
        <v>-1.56352080062876</v>
      </c>
      <c r="Z518" t="str">
        <f t="shared" si="429"/>
        <v>-7,16326530612251+36,6732856704769i</v>
      </c>
      <c r="AA518" s="4">
        <f t="shared" si="443"/>
        <v>37.3663251031501</v>
      </c>
      <c r="AB518" s="4">
        <f t="shared" si="444"/>
        <v>1.76369414487691</v>
      </c>
      <c r="AC518" s="67" t="str">
        <f t="shared" si="445"/>
        <v>-2,59805375071132+0,514896818509235i</v>
      </c>
      <c r="AD518" s="68">
        <f t="shared" si="446"/>
        <v>8.46027800749238</v>
      </c>
      <c r="AE518" s="31">
        <f t="shared" si="447"/>
        <v>168.790061899181</v>
      </c>
      <c r="AF518" s="32" t="str">
        <f t="shared" si="448"/>
        <v>326,048966736478</v>
      </c>
      <c r="AG518" s="32" t="str">
        <f t="shared" si="430"/>
        <v>1+5277,87565803086i</v>
      </c>
      <c r="AH518" s="32">
        <f t="shared" si="449"/>
        <v>5277.87575276594</v>
      </c>
      <c r="AI518" s="32">
        <f t="shared" si="450"/>
        <v>1.57060685662682</v>
      </c>
      <c r="AJ518" s="32" t="str">
        <f t="shared" si="431"/>
        <v>1+98,520345616576i</v>
      </c>
      <c r="AK518" s="32">
        <f t="shared" si="451"/>
        <v>98.5254205797143</v>
      </c>
      <c r="AL518" s="32">
        <f t="shared" si="452"/>
        <v>1.56064648765496</v>
      </c>
      <c r="AM518" s="32" t="str">
        <f t="shared" si="432"/>
        <v>1-16,2592866879396i</v>
      </c>
      <c r="AN518" s="32">
        <f t="shared" si="453"/>
        <v>16.2900093186164</v>
      </c>
      <c r="AO518" s="32">
        <f t="shared" si="454"/>
        <v>-1.50937038681869</v>
      </c>
      <c r="AP518" s="30" t="str">
        <f t="shared" si="455"/>
        <v>5,10056580747727-99,0188511383945i</v>
      </c>
      <c r="AQ518" s="32">
        <f t="shared" si="456"/>
        <v>39.9258659241938</v>
      </c>
      <c r="AR518" s="31">
        <f t="shared" si="457"/>
        <v>-87.0512399912198</v>
      </c>
      <c r="AS518" t="str">
        <f t="shared" si="433"/>
        <v>-0,000100699300699301</v>
      </c>
      <c r="AT518" t="str">
        <f t="shared" si="434"/>
        <v>1,41183173852325i</v>
      </c>
      <c r="AU518">
        <f t="shared" si="458"/>
        <v>1.41183173852325</v>
      </c>
      <c r="AV518">
        <f t="shared" si="459"/>
        <v>1.5707963267949</v>
      </c>
      <c r="AW518" t="str">
        <f t="shared" si="435"/>
        <v>1+72,2831954564274i</v>
      </c>
      <c r="AX518">
        <f t="shared" si="460"/>
        <v>72.2901123625637</v>
      </c>
      <c r="AY518">
        <f t="shared" si="461"/>
        <v>1.55696273513569</v>
      </c>
      <c r="AZ518" t="str">
        <f t="shared" si="436"/>
        <v>1+3455,75191894877i</v>
      </c>
      <c r="BA518">
        <f t="shared" si="462"/>
        <v>3455.75206363508</v>
      </c>
      <c r="BB518">
        <f t="shared" si="463"/>
        <v>1.57050695417917</v>
      </c>
      <c r="BC518" s="30" t="str">
        <f t="shared" si="464"/>
        <v>-0,0000461793568959313+0,00340931676526118i</v>
      </c>
      <c r="BD518" s="32">
        <f t="shared" si="465"/>
        <v>-49.3458561979044</v>
      </c>
      <c r="BE518" s="31">
        <f t="shared" si="466"/>
        <v>90.7760265879921</v>
      </c>
      <c r="BF518" s="30" t="str">
        <f t="shared" si="467"/>
        <v>-0,00163546990433427-0,00888136581329631i</v>
      </c>
      <c r="BG518" s="68">
        <f t="shared" si="468"/>
        <v>-40.885578190412</v>
      </c>
      <c r="BH518" s="31">
        <f t="shared" si="469"/>
        <v>-100.433911512827</v>
      </c>
      <c r="BI518" s="30" t="str">
        <f t="shared" si="476"/>
        <v>0,337351088414235+0,0219620713858952i</v>
      </c>
      <c r="BJ518" s="68">
        <f t="shared" si="470"/>
        <v>-9.41999027371055</v>
      </c>
      <c r="BK518" s="31">
        <f t="shared" si="477"/>
        <v>3.72478659677232</v>
      </c>
      <c r="BL518" s="32">
        <f t="shared" si="471"/>
        <v>-40.885578190412</v>
      </c>
      <c r="BM518" s="31">
        <f t="shared" si="472"/>
        <v>-100.433911512827</v>
      </c>
      <c r="BO518">
        <f t="shared" si="473"/>
        <v>0</v>
      </c>
      <c r="BP518">
        <f t="shared" si="474"/>
        <v>0</v>
      </c>
    </row>
    <row r="519" spans="14:68">
      <c r="N519" s="7">
        <v>1</v>
      </c>
      <c r="O519" s="18">
        <f>10^(6+(N519/100))</f>
        <v>1023292.99228076</v>
      </c>
      <c r="P519" s="86" t="str">
        <f t="shared" si="425"/>
        <v>60</v>
      </c>
      <c r="Q519" s="4" t="str">
        <f t="shared" si="426"/>
        <v>1+8401,26493887671i</v>
      </c>
      <c r="R519" s="4">
        <f t="shared" si="437"/>
        <v>8401.26499839156</v>
      </c>
      <c r="S519" s="4">
        <f t="shared" si="438"/>
        <v>1.57067729710085</v>
      </c>
      <c r="T519" s="4" t="str">
        <f t="shared" si="427"/>
        <v>1+100,815179266521i</v>
      </c>
      <c r="U519" s="4">
        <f t="shared" si="439"/>
        <v>100.820138715143</v>
      </c>
      <c r="V519" s="4">
        <f t="shared" si="440"/>
        <v>1.56087751087097</v>
      </c>
      <c r="W519" t="str">
        <f t="shared" si="428"/>
        <v>1-140,646176432088i</v>
      </c>
      <c r="X519" s="4">
        <f t="shared" si="441"/>
        <v>140.649731407372</v>
      </c>
      <c r="Y519" s="4">
        <f t="shared" si="442"/>
        <v>-1.56368640617717</v>
      </c>
      <c r="Z519" t="str">
        <f t="shared" si="429"/>
        <v>-7,54798814735442+37,5275162305093i</v>
      </c>
      <c r="AA519" s="4">
        <f t="shared" si="443"/>
        <v>38.2790621554884</v>
      </c>
      <c r="AB519" s="4">
        <f t="shared" si="444"/>
        <v>1.76928020697069</v>
      </c>
      <c r="AC519" s="67" t="str">
        <f t="shared" si="445"/>
        <v>-2,59228896694201+0,52865146031725i</v>
      </c>
      <c r="AD519" s="68">
        <f t="shared" si="446"/>
        <v>8.45062950991678</v>
      </c>
      <c r="AE519" s="31">
        <f t="shared" si="447"/>
        <v>168.473593417513</v>
      </c>
      <c r="AF519" s="32" t="str">
        <f t="shared" si="448"/>
        <v>326,048966736478</v>
      </c>
      <c r="AG519" s="32" t="str">
        <f t="shared" si="430"/>
        <v>1+5400,81317499217i</v>
      </c>
      <c r="AH519" s="32">
        <f t="shared" si="449"/>
        <v>5400.81326757082</v>
      </c>
      <c r="AI519" s="32">
        <f t="shared" si="450"/>
        <v>1.57061116949429</v>
      </c>
      <c r="AJ519" s="32" t="str">
        <f t="shared" si="431"/>
        <v>1+100,815179266521i</v>
      </c>
      <c r="AK519" s="32">
        <f t="shared" si="451"/>
        <v>100.820138715143</v>
      </c>
      <c r="AL519" s="32">
        <f t="shared" si="452"/>
        <v>1.56087751087097</v>
      </c>
      <c r="AM519" s="32" t="str">
        <f t="shared" si="432"/>
        <v>1-16,6380141272524i</v>
      </c>
      <c r="AN519" s="32">
        <f t="shared" si="453"/>
        <v>16.6680386998186</v>
      </c>
      <c r="AO519" s="32">
        <f t="shared" si="454"/>
        <v>-1.51076521617577</v>
      </c>
      <c r="AP519" s="30" t="str">
        <f t="shared" si="455"/>
        <v>5,10056528891499-101,322495815428i</v>
      </c>
      <c r="AQ519" s="32">
        <f t="shared" si="456"/>
        <v>40.1251091429492</v>
      </c>
      <c r="AR519" s="31">
        <f t="shared" si="457"/>
        <v>-87.1181682803779</v>
      </c>
      <c r="AS519" t="str">
        <f t="shared" si="433"/>
        <v>-0,000100699300699301</v>
      </c>
      <c r="AT519" t="str">
        <f t="shared" si="434"/>
        <v>1,44471752431041i</v>
      </c>
      <c r="AU519">
        <f t="shared" si="458"/>
        <v>1.44471752431041</v>
      </c>
      <c r="AV519">
        <f t="shared" si="459"/>
        <v>1.5707963267949</v>
      </c>
      <c r="AW519" t="str">
        <f t="shared" si="435"/>
        <v>1+73,9668873702226i</v>
      </c>
      <c r="AX519">
        <f t="shared" si="460"/>
        <v>73.9736468429075</v>
      </c>
      <c r="AY519">
        <f t="shared" si="461"/>
        <v>1.55727758731516</v>
      </c>
      <c r="AZ519" t="str">
        <f t="shared" si="436"/>
        <v>1+3536,24672172106i</v>
      </c>
      <c r="BA519">
        <f t="shared" si="462"/>
        <v>3536.24686311391</v>
      </c>
      <c r="BB519">
        <f t="shared" si="463"/>
        <v>1.57051354110373</v>
      </c>
      <c r="BC519" s="30" t="str">
        <f t="shared" si="464"/>
        <v>-0,0000441013232828971+0,00333173933514838i</v>
      </c>
      <c r="BD519" s="32">
        <f t="shared" si="465"/>
        <v>-49.5458188107548</v>
      </c>
      <c r="BE519" s="31">
        <f t="shared" si="466"/>
        <v>90.7583642899154</v>
      </c>
      <c r="BF519" s="30" t="str">
        <f t="shared" si="467"/>
        <v>-0,00164700549114882-0,00866014534818728i</v>
      </c>
      <c r="BG519" s="68">
        <f t="shared" si="468"/>
        <v>-41.0951893008381</v>
      </c>
      <c r="BH519" s="31">
        <f t="shared" si="469"/>
        <v>-100.768042292571</v>
      </c>
      <c r="BI519" s="30" t="str">
        <f t="shared" si="476"/>
        <v>0,337355203164937+0,0214622101483567i</v>
      </c>
      <c r="BJ519" s="68">
        <f t="shared" si="470"/>
        <v>-9.42070966780557</v>
      </c>
      <c r="BK519" s="31">
        <f t="shared" si="477"/>
        <v>3.64019600953754</v>
      </c>
      <c r="BL519" s="32">
        <f t="shared" si="471"/>
        <v>-41.0951893008381</v>
      </c>
      <c r="BM519" s="31">
        <f t="shared" si="472"/>
        <v>-100.768042292571</v>
      </c>
      <c r="BO519">
        <f t="shared" si="473"/>
        <v>0</v>
      </c>
      <c r="BP519">
        <f t="shared" si="474"/>
        <v>0</v>
      </c>
    </row>
    <row r="520" spans="14:68">
      <c r="N520" s="7">
        <v>2</v>
      </c>
      <c r="O520" s="18">
        <f t="shared" ref="O520:O560" si="478">10^(6+(N520/100))</f>
        <v>1047128.5480509</v>
      </c>
      <c r="P520" s="86" t="str">
        <f t="shared" si="425"/>
        <v>60</v>
      </c>
      <c r="Q520" s="4" t="str">
        <f t="shared" si="426"/>
        <v>1+8596,9555382465i</v>
      </c>
      <c r="R520" s="4">
        <f t="shared" si="437"/>
        <v>8596.95559640662</v>
      </c>
      <c r="S520" s="4">
        <f t="shared" si="438"/>
        <v>1.57068000654745</v>
      </c>
      <c r="T520" s="4" t="str">
        <f t="shared" si="427"/>
        <v>1+103,163466458958i</v>
      </c>
      <c r="U520" s="4">
        <f t="shared" si="439"/>
        <v>103.168313022112</v>
      </c>
      <c r="V520" s="4">
        <f t="shared" si="440"/>
        <v>1.56110327637968</v>
      </c>
      <c r="W520" t="str">
        <f t="shared" si="428"/>
        <v>1-143,922246734037i</v>
      </c>
      <c r="X520" s="4">
        <f t="shared" si="441"/>
        <v>143.925720790181</v>
      </c>
      <c r="Y520" s="4">
        <f t="shared" si="442"/>
        <v>-1.5638482424599</v>
      </c>
      <c r="Z520" t="str">
        <f t="shared" si="429"/>
        <v>-7,95084241749546+38,4016443763823i</v>
      </c>
      <c r="AA520" s="4">
        <f t="shared" si="443"/>
        <v>39.2160960060787</v>
      </c>
      <c r="AB520" s="4">
        <f t="shared" si="444"/>
        <v>1.7749560065291</v>
      </c>
      <c r="AC520" s="67" t="str">
        <f t="shared" si="445"/>
        <v>-2,58627372591105+0,542566993688886i</v>
      </c>
      <c r="AD520" s="68">
        <f t="shared" si="446"/>
        <v>8.44053903845025</v>
      </c>
      <c r="AE520" s="31">
        <f t="shared" si="447"/>
        <v>168.151901692435</v>
      </c>
      <c r="AF520" s="32" t="str">
        <f t="shared" si="448"/>
        <v>326,048966736478</v>
      </c>
      <c r="AG520" s="32" t="str">
        <f t="shared" si="430"/>
        <v>1+5526,61427458704i</v>
      </c>
      <c r="AH520" s="32">
        <f t="shared" si="449"/>
        <v>5526.61436505834</v>
      </c>
      <c r="AI520" s="32">
        <f t="shared" si="450"/>
        <v>1.57061538418892</v>
      </c>
      <c r="AJ520" s="32" t="str">
        <f t="shared" si="431"/>
        <v>1+103,163466458958i</v>
      </c>
      <c r="AK520" s="32">
        <f t="shared" si="451"/>
        <v>103.168313022112</v>
      </c>
      <c r="AL520" s="32">
        <f t="shared" si="452"/>
        <v>1.56110327637968</v>
      </c>
      <c r="AM520" s="32" t="str">
        <f t="shared" si="432"/>
        <v>1-17,0255632618855i</v>
      </c>
      <c r="AN520" s="32">
        <f t="shared" si="453"/>
        <v>17.054905581224</v>
      </c>
      <c r="AO520" s="32">
        <f t="shared" si="454"/>
        <v>-1.51212852136079</v>
      </c>
      <c r="AP520" s="30" t="str">
        <f t="shared" si="455"/>
        <v>5,10056479369178-103,679863020893i</v>
      </c>
      <c r="AQ520" s="32">
        <f t="shared" si="456"/>
        <v>40.3243863057226</v>
      </c>
      <c r="AR520" s="31">
        <f t="shared" si="457"/>
        <v>-87.1835859870738</v>
      </c>
      <c r="AS520" t="str">
        <f t="shared" si="433"/>
        <v>-0,000100699300699301</v>
      </c>
      <c r="AT520" t="str">
        <f t="shared" si="434"/>
        <v>1,47836931845203i</v>
      </c>
      <c r="AU520">
        <f t="shared" si="458"/>
        <v>1.47836931845203</v>
      </c>
      <c r="AV520">
        <f t="shared" si="459"/>
        <v>1.5707963267949</v>
      </c>
      <c r="AW520" t="str">
        <f t="shared" si="435"/>
        <v>1+75,6897975067682i</v>
      </c>
      <c r="AX520">
        <f t="shared" si="460"/>
        <v>75.6964031286532</v>
      </c>
      <c r="AY520">
        <f t="shared" si="461"/>
        <v>1.55758527517412</v>
      </c>
      <c r="AZ520" t="str">
        <f t="shared" si="436"/>
        <v>1+3618,61648931294i</v>
      </c>
      <c r="BA520">
        <f t="shared" si="462"/>
        <v>3618.61662748729</v>
      </c>
      <c r="BB520">
        <f t="shared" si="463"/>
        <v>1.5705199780916</v>
      </c>
      <c r="BC520" s="30" t="str">
        <f t="shared" si="464"/>
        <v>-0,0000421167831747331+0,0032559259082168i</v>
      </c>
      <c r="BD520" s="32">
        <f t="shared" si="465"/>
        <v>-49.7457831060033</v>
      </c>
      <c r="BE520" s="31">
        <f t="shared" si="466"/>
        <v>90.7411038864273</v>
      </c>
      <c r="BF520" s="30" t="str">
        <f t="shared" si="467"/>
        <v>-0,00165763240195024-0,00844356680636514i</v>
      </c>
      <c r="BG520" s="68">
        <f t="shared" si="468"/>
        <v>-41.3052440675531</v>
      </c>
      <c r="BH520" s="31">
        <f t="shared" si="469"/>
        <v>-101.106994421138</v>
      </c>
      <c r="BI520" s="30" t="str">
        <f t="shared" si="476"/>
        <v>0,33735913278861+0,0209737233687565i</v>
      </c>
      <c r="BJ520" s="68">
        <f t="shared" si="470"/>
        <v>-9.42139680028071</v>
      </c>
      <c r="BK520" s="31">
        <f t="shared" si="477"/>
        <v>3.55751789935345</v>
      </c>
      <c r="BL520" s="32">
        <f t="shared" si="471"/>
        <v>-41.3052440675531</v>
      </c>
      <c r="BM520" s="31">
        <f t="shared" si="472"/>
        <v>-101.106994421138</v>
      </c>
      <c r="BO520">
        <f t="shared" si="473"/>
        <v>0</v>
      </c>
      <c r="BP520">
        <f t="shared" si="474"/>
        <v>0</v>
      </c>
    </row>
    <row r="521" spans="14:68">
      <c r="N521" s="7">
        <v>3</v>
      </c>
      <c r="O521" s="18">
        <f t="shared" si="478"/>
        <v>1071519.30523761</v>
      </c>
      <c r="P521" s="86" t="str">
        <f t="shared" si="425"/>
        <v>60</v>
      </c>
      <c r="Q521" s="4" t="str">
        <f t="shared" si="426"/>
        <v>1+8797,20435723688i</v>
      </c>
      <c r="R521" s="4">
        <f t="shared" si="437"/>
        <v>8797.20441407312</v>
      </c>
      <c r="S521" s="4">
        <f t="shared" si="438"/>
        <v>1.57068265431952</v>
      </c>
      <c r="T521" s="4" t="str">
        <f t="shared" si="427"/>
        <v>1+105,566452286843i</v>
      </c>
      <c r="U521" s="4">
        <f t="shared" si="439"/>
        <v>105.571188533758</v>
      </c>
      <c r="V521" s="4">
        <f t="shared" si="440"/>
        <v>1.56132390379283</v>
      </c>
      <c r="W521" t="str">
        <f t="shared" si="428"/>
        <v>1-147,274626516243i</v>
      </c>
      <c r="X521" s="4">
        <f t="shared" si="441"/>
        <v>147.278021495058</v>
      </c>
      <c r="Y521" s="4">
        <f t="shared" si="442"/>
        <v>-1.56400639525079</v>
      </c>
      <c r="Z521" t="str">
        <f t="shared" si="429"/>
        <v>-8,37268262446447+39,2961335824097i</v>
      </c>
      <c r="AA521" s="4">
        <f t="shared" si="443"/>
        <v>40.178202160582</v>
      </c>
      <c r="AB521" s="4">
        <f t="shared" si="444"/>
        <v>1.78072351056935</v>
      </c>
      <c r="AC521" s="67" t="str">
        <f t="shared" si="445"/>
        <v>-2,57999901970649+0,556643132664412i</v>
      </c>
      <c r="AD521" s="68">
        <f t="shared" si="446"/>
        <v>8.42998839038773</v>
      </c>
      <c r="AE521" s="31">
        <f t="shared" si="447"/>
        <v>167.824875878622</v>
      </c>
      <c r="AF521" s="32" t="str">
        <f t="shared" si="448"/>
        <v>326,048966736478</v>
      </c>
      <c r="AG521" s="32" t="str">
        <f t="shared" si="430"/>
        <v>1+5655,34565822372i</v>
      </c>
      <c r="AH521" s="32">
        <f t="shared" si="449"/>
        <v>5655.34574663564</v>
      </c>
      <c r="AI521" s="32">
        <f t="shared" si="450"/>
        <v>1.57061950294539</v>
      </c>
      <c r="AJ521" s="32" t="str">
        <f t="shared" si="431"/>
        <v>1+105,566452286843i</v>
      </c>
      <c r="AK521" s="32">
        <f t="shared" si="451"/>
        <v>105.571188533758</v>
      </c>
      <c r="AL521" s="32">
        <f t="shared" si="452"/>
        <v>1.56132390379283</v>
      </c>
      <c r="AM521" s="32" t="str">
        <f t="shared" si="432"/>
        <v>1-17,4221395755201i</v>
      </c>
      <c r="AN521" s="32">
        <f t="shared" si="453"/>
        <v>17.4508150923934</v>
      </c>
      <c r="AO521" s="32">
        <f t="shared" si="454"/>
        <v>-1.51346100493404</v>
      </c>
      <c r="AP521" s="30" t="str">
        <f t="shared" si="455"/>
        <v>5,10056432075735-106,092202662091i</v>
      </c>
      <c r="AQ521" s="32">
        <f t="shared" si="456"/>
        <v>40.5236958950199</v>
      </c>
      <c r="AR521" s="31">
        <f t="shared" si="457"/>
        <v>-87.247526639836</v>
      </c>
      <c r="AS521" t="str">
        <f t="shared" si="433"/>
        <v>-0,000100699300699301</v>
      </c>
      <c r="AT521" t="str">
        <f t="shared" si="434"/>
        <v>1,51280496357484i</v>
      </c>
      <c r="AU521">
        <f t="shared" si="458"/>
        <v>1.51280496357484</v>
      </c>
      <c r="AV521">
        <f t="shared" si="459"/>
        <v>1.5707963267949</v>
      </c>
      <c r="AW521" t="str">
        <f t="shared" si="435"/>
        <v>1+77,4528393758255i</v>
      </c>
      <c r="AX521">
        <f t="shared" si="460"/>
        <v>77.4592946480758</v>
      </c>
      <c r="AY521">
        <f t="shared" si="461"/>
        <v>1.55788596161959</v>
      </c>
      <c r="AZ521" t="str">
        <f t="shared" si="436"/>
        <v>1+3702,90489526552i</v>
      </c>
      <c r="BA521">
        <f t="shared" si="462"/>
        <v>3702.90503029464</v>
      </c>
      <c r="BB521">
        <f t="shared" si="463"/>
        <v>1.57052626855576</v>
      </c>
      <c r="BC521" s="30" t="str">
        <f t="shared" si="464"/>
        <v>-0,0000402215316098945+0,00318183645593312i</v>
      </c>
      <c r="BD521" s="32">
        <f t="shared" si="465"/>
        <v>-49.9457490079562</v>
      </c>
      <c r="BE521" s="31">
        <f t="shared" si="466"/>
        <v>90.7242362391928</v>
      </c>
      <c r="BF521" s="30" t="str">
        <f t="shared" si="467"/>
        <v>-0,00166737590033182-0,00823152397652972i</v>
      </c>
      <c r="BG521" s="68">
        <f t="shared" si="468"/>
        <v>-41.5157606175685</v>
      </c>
      <c r="BH521" s="31">
        <f t="shared" si="469"/>
        <v>-101.450887882185</v>
      </c>
      <c r="BI521" s="30" t="str">
        <f t="shared" si="476"/>
        <v>0,33736288561143+0,0204963523845541i</v>
      </c>
      <c r="BJ521" s="68">
        <f t="shared" si="470"/>
        <v>-9.4220531129363</v>
      </c>
      <c r="BK521" s="31">
        <f t="shared" si="477"/>
        <v>3.4767095993568</v>
      </c>
      <c r="BL521" s="32">
        <f t="shared" si="471"/>
        <v>-41.5157606175685</v>
      </c>
      <c r="BM521" s="31">
        <f t="shared" si="472"/>
        <v>-101.450887882185</v>
      </c>
      <c r="BO521">
        <f t="shared" si="473"/>
        <v>0</v>
      </c>
      <c r="BP521">
        <f t="shared" si="474"/>
        <v>0</v>
      </c>
    </row>
    <row r="522" spans="14:68">
      <c r="N522" s="7">
        <v>4</v>
      </c>
      <c r="O522" s="18">
        <f t="shared" si="478"/>
        <v>1096478.19614319</v>
      </c>
      <c r="P522" s="86" t="str">
        <f t="shared" si="425"/>
        <v>60</v>
      </c>
      <c r="Q522" s="4" t="str">
        <f t="shared" si="426"/>
        <v>1+9002,11757042223i</v>
      </c>
      <c r="R522" s="4">
        <f t="shared" si="437"/>
        <v>9002.11762596472</v>
      </c>
      <c r="S522" s="4">
        <f t="shared" si="438"/>
        <v>1.57068524182094</v>
      </c>
      <c r="T522" s="4" t="str">
        <f t="shared" si="427"/>
        <v>1+108,025410845067i</v>
      </c>
      <c r="U522" s="4">
        <f t="shared" si="439"/>
        <v>108.030039286513</v>
      </c>
      <c r="V522" s="4">
        <f t="shared" si="440"/>
        <v>1.56153951000403</v>
      </c>
      <c r="W522" t="str">
        <f t="shared" si="428"/>
        <v>1-150,705093254837i</v>
      </c>
      <c r="X522" s="4">
        <f t="shared" si="441"/>
        <v>150.708410956221</v>
      </c>
      <c r="Y522" s="4">
        <f t="shared" si="442"/>
        <v>-1.56416094837286</v>
      </c>
      <c r="Z522" t="str">
        <f t="shared" si="429"/>
        <v>-8,8144035478974+40,2114581186084i</v>
      </c>
      <c r="AA522" s="4">
        <f t="shared" si="443"/>
        <v>41.1661884795008</v>
      </c>
      <c r="AB522" s="4">
        <f t="shared" si="444"/>
        <v>1.78658466844224</v>
      </c>
      <c r="AC522" s="67" t="str">
        <f t="shared" si="445"/>
        <v>-2,57345561272066+0,570879230142372i</v>
      </c>
      <c r="AD522" s="68">
        <f t="shared" si="446"/>
        <v>8.41895867349673</v>
      </c>
      <c r="AE522" s="31">
        <f t="shared" si="447"/>
        <v>167.492406100868</v>
      </c>
      <c r="AF522" s="32" t="str">
        <f t="shared" si="448"/>
        <v>326,048966736478</v>
      </c>
      <c r="AG522" s="32" t="str">
        <f t="shared" si="430"/>
        <v>1+5787,07558098573i</v>
      </c>
      <c r="AH522" s="32">
        <f t="shared" si="449"/>
        <v>5787.07566738515</v>
      </c>
      <c r="AI522" s="32">
        <f t="shared" si="450"/>
        <v>1.57062352794752</v>
      </c>
      <c r="AJ522" s="32" t="str">
        <f t="shared" si="431"/>
        <v>1+108,025410845067i</v>
      </c>
      <c r="AK522" s="32">
        <f t="shared" si="451"/>
        <v>108.030039286513</v>
      </c>
      <c r="AL522" s="32">
        <f t="shared" si="452"/>
        <v>1.56153951000403</v>
      </c>
      <c r="AM522" s="32" t="str">
        <f t="shared" si="432"/>
        <v>1-17,8279533381669i</v>
      </c>
      <c r="AN522" s="32">
        <f t="shared" si="453"/>
        <v>17.8559771569034</v>
      </c>
      <c r="AO522" s="32">
        <f t="shared" si="454"/>
        <v>-1.5147633544585</v>
      </c>
      <c r="AP522" s="30" t="str">
        <f t="shared" si="455"/>
        <v>5,10056386910845-108,560793793429i</v>
      </c>
      <c r="AQ522" s="32">
        <f t="shared" si="456"/>
        <v>40.7230364607488</v>
      </c>
      <c r="AR522" s="31">
        <f t="shared" si="457"/>
        <v>-87.3100230607349</v>
      </c>
      <c r="AS522" t="str">
        <f t="shared" si="433"/>
        <v>-0,000100699300699301</v>
      </c>
      <c r="AT522" t="str">
        <f t="shared" si="434"/>
        <v>1,54804271791368i</v>
      </c>
      <c r="AU522">
        <f t="shared" si="458"/>
        <v>1.54804271791368</v>
      </c>
      <c r="AV522">
        <f t="shared" si="459"/>
        <v>1.5707963267949</v>
      </c>
      <c r="AW522" t="str">
        <f t="shared" si="435"/>
        <v>1+79,2569477655292i</v>
      </c>
      <c r="AX522">
        <f t="shared" si="460"/>
        <v>79.2632561096743</v>
      </c>
      <c r="AY522">
        <f t="shared" si="461"/>
        <v>1.55817980586189</v>
      </c>
      <c r="AZ522" t="str">
        <f t="shared" si="436"/>
        <v>1+3789,15663040731i</v>
      </c>
      <c r="BA522">
        <f t="shared" si="462"/>
        <v>3789.15676236279</v>
      </c>
      <c r="BB522">
        <f t="shared" si="463"/>
        <v>1.5705324158315</v>
      </c>
      <c r="BC522" s="30" t="str">
        <f t="shared" si="464"/>
        <v>-0,0000384115526227544+0,00310943185258147i</v>
      </c>
      <c r="BD522" s="32">
        <f t="shared" si="465"/>
        <v>-50.1457164443238</v>
      </c>
      <c r="BE522" s="31">
        <f t="shared" si="466"/>
        <v>90.7077524172301</v>
      </c>
      <c r="BF522" s="30" t="str">
        <f t="shared" si="467"/>
        <v>-0,00167625963649154-0,00802391321098803i</v>
      </c>
      <c r="BG522" s="68">
        <f t="shared" si="468"/>
        <v>-41.7267577708271</v>
      </c>
      <c r="BH522" s="31">
        <f t="shared" si="469"/>
        <v>-101.799841481902</v>
      </c>
      <c r="BI522" s="30" t="str">
        <f t="shared" si="476"/>
        <v>0,337366469585353+0,0200298444042963i</v>
      </c>
      <c r="BJ522" s="68">
        <f t="shared" si="470"/>
        <v>-9.42267998357505</v>
      </c>
      <c r="BK522" s="31">
        <f t="shared" si="477"/>
        <v>3.39772935649517</v>
      </c>
      <c r="BL522" s="32">
        <f t="shared" si="471"/>
        <v>-41.7267577708271</v>
      </c>
      <c r="BM522" s="31">
        <f t="shared" si="472"/>
        <v>-101.799841481902</v>
      </c>
      <c r="BO522">
        <f t="shared" si="473"/>
        <v>0</v>
      </c>
      <c r="BP522">
        <f t="shared" si="474"/>
        <v>0</v>
      </c>
    </row>
    <row r="523" spans="14:68">
      <c r="N523" s="7">
        <v>5</v>
      </c>
      <c r="O523" s="18">
        <f t="shared" si="478"/>
        <v>1122018.45430196</v>
      </c>
      <c r="P523" s="86" t="str">
        <f t="shared" si="425"/>
        <v>60</v>
      </c>
      <c r="Q523" s="4" t="str">
        <f t="shared" si="426"/>
        <v>1+9211,80382550045i</v>
      </c>
      <c r="R523" s="4">
        <f t="shared" si="437"/>
        <v>9211.80387977864</v>
      </c>
      <c r="S523" s="4">
        <f t="shared" si="438"/>
        <v>1.57068777042363</v>
      </c>
      <c r="T523" s="4" t="str">
        <f t="shared" si="427"/>
        <v>1+110,541645906006i</v>
      </c>
      <c r="U523" s="4">
        <f t="shared" si="439"/>
        <v>110.546168995623</v>
      </c>
      <c r="V523" s="4">
        <f t="shared" si="440"/>
        <v>1.56175020925032</v>
      </c>
      <c r="W523" t="str">
        <f t="shared" si="428"/>
        <v>1-154,215465828691i</v>
      </c>
      <c r="X523" s="4">
        <f t="shared" si="441"/>
        <v>154.218708011577</v>
      </c>
      <c r="Y523" s="4">
        <f t="shared" si="442"/>
        <v>-1.56431198374267</v>
      </c>
      <c r="Z523" t="str">
        <f t="shared" si="429"/>
        <v>-9,2769421370952+41,1481033021627i</v>
      </c>
      <c r="AA523" s="4">
        <f t="shared" si="443"/>
        <v>42.1808968702713</v>
      </c>
      <c r="AB523" s="4">
        <f t="shared" si="444"/>
        <v>1.79254140899744</v>
      </c>
      <c r="AC523" s="67" t="str">
        <f t="shared" si="445"/>
        <v>-2,56663404790075+0,585274256182163i</v>
      </c>
      <c r="AD523" s="68">
        <f t="shared" si="446"/>
        <v>8.40743029050995</v>
      </c>
      <c r="AE523" s="31">
        <f t="shared" si="447"/>
        <v>167.154383617449</v>
      </c>
      <c r="AF523" s="32" t="str">
        <f t="shared" si="448"/>
        <v>326,048966736478</v>
      </c>
      <c r="AG523" s="32" t="str">
        <f t="shared" si="430"/>
        <v>1+5921,87388782172i</v>
      </c>
      <c r="AH523" s="32">
        <f t="shared" si="449"/>
        <v>5921.87397225445</v>
      </c>
      <c r="AI523" s="32">
        <f t="shared" si="450"/>
        <v>1.57062746132943</v>
      </c>
      <c r="AJ523" s="32" t="str">
        <f t="shared" si="431"/>
        <v>1+110,541645906006i</v>
      </c>
      <c r="AK523" s="32">
        <f t="shared" si="451"/>
        <v>110.546168995623</v>
      </c>
      <c r="AL523" s="32">
        <f t="shared" si="452"/>
        <v>1.56175020925032</v>
      </c>
      <c r="AM523" s="32" t="str">
        <f t="shared" si="432"/>
        <v>1-18,2432197176544i</v>
      </c>
      <c r="AN523" s="32">
        <f t="shared" si="453"/>
        <v>18.2706066036849</v>
      </c>
      <c r="AO523" s="32">
        <f t="shared" si="454"/>
        <v>-1.51603624277567</v>
      </c>
      <c r="AP523" s="30" t="str">
        <f t="shared" si="455"/>
        <v>5,10056343778711-111,086945294601i</v>
      </c>
      <c r="AQ523" s="32">
        <f t="shared" si="456"/>
        <v>40.9224066172637</v>
      </c>
      <c r="AR523" s="31">
        <f t="shared" si="457"/>
        <v>-87.3711073777233</v>
      </c>
      <c r="AS523" t="str">
        <f t="shared" si="433"/>
        <v>-0,000100699300699301</v>
      </c>
      <c r="AT523" t="str">
        <f t="shared" si="434"/>
        <v>1,58410126499231i</v>
      </c>
      <c r="AU523">
        <f t="shared" si="458"/>
        <v>1.58410126499231</v>
      </c>
      <c r="AV523">
        <f t="shared" si="459"/>
        <v>1.5707963267949</v>
      </c>
      <c r="AW523" t="str">
        <f t="shared" si="435"/>
        <v>1+81,1030792380272i</v>
      </c>
      <c r="AX523">
        <f t="shared" si="460"/>
        <v>81.1092439977696</v>
      </c>
      <c r="AY523">
        <f t="shared" si="461"/>
        <v>1.55846696349803</v>
      </c>
      <c r="AZ523" t="str">
        <f t="shared" si="436"/>
        <v>1+3877,41742654993i</v>
      </c>
      <c r="BA523">
        <f t="shared" si="462"/>
        <v>3877.41755550174</v>
      </c>
      <c r="BB523">
        <f t="shared" si="463"/>
        <v>1.57053842317818</v>
      </c>
      <c r="BC523" s="30" t="str">
        <f t="shared" si="464"/>
        <v>-0,000036683010760113+0,00303867385526877i</v>
      </c>
      <c r="BD523" s="32">
        <f t="shared" si="465"/>
        <v>-50.3456853460682</v>
      </c>
      <c r="BE523" s="31">
        <f t="shared" si="466"/>
        <v>90.6916436922348</v>
      </c>
      <c r="BF523" s="30" t="str">
        <f t="shared" si="467"/>
        <v>-0,0016843057160262-0,00782063339923581i</v>
      </c>
      <c r="BG523" s="68">
        <f t="shared" si="468"/>
        <v>-41.9382550555582</v>
      </c>
      <c r="BH523" s="31">
        <f t="shared" si="469"/>
        <v>-102.153972690316</v>
      </c>
      <c r="BI523" s="30" t="str">
        <f t="shared" si="476"/>
        <v>0,337369892304905+0,0195739523750934i</v>
      </c>
      <c r="BJ523" s="68">
        <f t="shared" si="470"/>
        <v>-9.42327872880452</v>
      </c>
      <c r="BK523" s="31">
        <f t="shared" si="477"/>
        <v>3.32053631451155</v>
      </c>
      <c r="BL523" s="32">
        <f t="shared" si="471"/>
        <v>-41.9382550555582</v>
      </c>
      <c r="BM523" s="31">
        <f t="shared" si="472"/>
        <v>-102.153972690316</v>
      </c>
      <c r="BO523">
        <f t="shared" si="473"/>
        <v>0</v>
      </c>
      <c r="BP523">
        <f t="shared" si="474"/>
        <v>0</v>
      </c>
    </row>
    <row r="524" spans="14:68">
      <c r="N524" s="7">
        <v>6</v>
      </c>
      <c r="O524" s="18">
        <f t="shared" si="478"/>
        <v>1148153.62149688</v>
      </c>
      <c r="P524" s="86" t="str">
        <f t="shared" si="425"/>
        <v>60</v>
      </c>
      <c r="Q524" s="4" t="str">
        <f t="shared" si="426"/>
        <v>1+9426,37430089966i</v>
      </c>
      <c r="R524" s="4">
        <f t="shared" si="437"/>
        <v>9426.37435394232</v>
      </c>
      <c r="S524" s="4">
        <f t="shared" si="438"/>
        <v>1.57069024146831</v>
      </c>
      <c r="T524" s="4" t="str">
        <f t="shared" si="427"/>
        <v>1+113,116491610796i</v>
      </c>
      <c r="U524" s="4">
        <f t="shared" si="439"/>
        <v>113.120911746393</v>
      </c>
      <c r="V524" s="4">
        <f t="shared" si="440"/>
        <v>1.56195611317235</v>
      </c>
      <c r="W524" t="str">
        <f t="shared" si="428"/>
        <v>1-157,807605483811i</v>
      </c>
      <c r="X524" s="4">
        <f t="shared" si="441"/>
        <v>157.810773867104</v>
      </c>
      <c r="Y524" s="4">
        <f t="shared" si="442"/>
        <v>-1.5644595814136</v>
      </c>
      <c r="Z524" t="str">
        <f t="shared" si="429"/>
        <v>-9,7612794984197+42,1065657547476i</v>
      </c>
      <c r="AA524" s="4">
        <f t="shared" si="443"/>
        <v>43.2232050767311</v>
      </c>
      <c r="AB524" s="4">
        <f t="shared" si="444"/>
        <v>1.79859563755673</v>
      </c>
      <c r="AC524" s="67" t="str">
        <f t="shared" si="445"/>
        <v>-2,55952465434261+0,59982677564391i</v>
      </c>
      <c r="AD524" s="68">
        <f t="shared" si="446"/>
        <v>8.39538292408026</v>
      </c>
      <c r="AE524" s="31">
        <f t="shared" si="447"/>
        <v>166.810700994472</v>
      </c>
      <c r="AF524" s="32" t="str">
        <f t="shared" si="448"/>
        <v>326,048966736478</v>
      </c>
      <c r="AG524" s="32" t="str">
        <f t="shared" si="430"/>
        <v>1+6059,81205057836i</v>
      </c>
      <c r="AH524" s="32">
        <f t="shared" si="449"/>
        <v>6059.81213308917</v>
      </c>
      <c r="AI524" s="32">
        <f t="shared" si="450"/>
        <v>1.57063130517664</v>
      </c>
      <c r="AJ524" s="32" t="str">
        <f t="shared" si="431"/>
        <v>1+113,116491610796i</v>
      </c>
      <c r="AK524" s="32">
        <f t="shared" si="451"/>
        <v>113.120911746393</v>
      </c>
      <c r="AL524" s="32">
        <f t="shared" si="452"/>
        <v>1.56195611317235</v>
      </c>
      <c r="AM524" s="32" t="str">
        <f t="shared" si="432"/>
        <v>1-18,6681588937138i</v>
      </c>
      <c r="AN524" s="32">
        <f t="shared" si="453"/>
        <v>18.6949232809591</v>
      </c>
      <c r="AO524" s="32">
        <f t="shared" si="454"/>
        <v>-1.51728032827929</v>
      </c>
      <c r="AP524" s="30" t="str">
        <f t="shared" si="455"/>
        <v>5,10056302587839-113,67199656457i</v>
      </c>
      <c r="AQ524" s="32">
        <f t="shared" si="456"/>
        <v>41.1218050405367</v>
      </c>
      <c r="AR524" s="31">
        <f t="shared" si="457"/>
        <v>-87.4308110369387</v>
      </c>
      <c r="AS524" t="str">
        <f t="shared" si="433"/>
        <v>-0,000100699300699301</v>
      </c>
      <c r="AT524" t="str">
        <f t="shared" si="434"/>
        <v>1,62099972352971i</v>
      </c>
      <c r="AU524">
        <f t="shared" si="458"/>
        <v>1.62099972352971</v>
      </c>
      <c r="AV524">
        <f t="shared" si="459"/>
        <v>1.5707963267949</v>
      </c>
      <c r="AW524" t="str">
        <f t="shared" si="435"/>
        <v>1+82,992212636664i</v>
      </c>
      <c r="AX524">
        <f t="shared" si="460"/>
        <v>82.9982370796468</v>
      </c>
      <c r="AY524">
        <f t="shared" si="461"/>
        <v>1.55874758659326</v>
      </c>
      <c r="AZ524" t="str">
        <f t="shared" si="436"/>
        <v>1+3967,73408073582i</v>
      </c>
      <c r="BA524">
        <f t="shared" si="462"/>
        <v>3967.73420675233</v>
      </c>
      <c r="BB524">
        <f t="shared" si="463"/>
        <v>1.57054429378097</v>
      </c>
      <c r="BC524" s="30" t="str">
        <f t="shared" si="464"/>
        <v>-0,0000350322429775398+0,0029695250843486i</v>
      </c>
      <c r="BD524" s="32">
        <f t="shared" si="465"/>
        <v>-50.5456556472566</v>
      </c>
      <c r="BE524" s="31">
        <f t="shared" si="466"/>
        <v>90.6759015340075</v>
      </c>
      <c r="BF524" s="30" t="str">
        <f t="shared" si="467"/>
        <v>-0,0016915347669406-0,00762158594242785i</v>
      </c>
      <c r="BG524" s="68">
        <f t="shared" si="468"/>
        <v>-42.1502727231763</v>
      </c>
      <c r="BH524" s="31">
        <f t="shared" si="469"/>
        <v>-102.513397471521</v>
      </c>
      <c r="BI524" s="30" t="str">
        <f t="shared" si="476"/>
        <v>0,337373161023234+0,019128434853039i</v>
      </c>
      <c r="BJ524" s="68">
        <f t="shared" si="470"/>
        <v>-9.42385060671987</v>
      </c>
      <c r="BK524" s="31">
        <f t="shared" si="477"/>
        <v>3.24509049706872</v>
      </c>
      <c r="BL524" s="32">
        <f t="shared" si="471"/>
        <v>-42.1502727231763</v>
      </c>
      <c r="BM524" s="31">
        <f t="shared" si="472"/>
        <v>-102.513397471521</v>
      </c>
      <c r="BO524">
        <f t="shared" si="473"/>
        <v>0</v>
      </c>
      <c r="BP524">
        <f t="shared" si="474"/>
        <v>0</v>
      </c>
    </row>
    <row r="525" spans="14:68">
      <c r="N525" s="7">
        <v>7</v>
      </c>
      <c r="O525" s="18">
        <f t="shared" si="478"/>
        <v>1174897.55493953</v>
      </c>
      <c r="P525" s="86" t="str">
        <f t="shared" si="425"/>
        <v>60</v>
      </c>
      <c r="Q525" s="4" t="str">
        <f t="shared" si="426"/>
        <v>1+9645,94276472604i</v>
      </c>
      <c r="R525" s="4">
        <f t="shared" si="437"/>
        <v>9645.9428165613</v>
      </c>
      <c r="S525" s="4">
        <f t="shared" si="438"/>
        <v>1.57069265626514</v>
      </c>
      <c r="T525" s="4" t="str">
        <f t="shared" si="427"/>
        <v>1+115,751313176713i</v>
      </c>
      <c r="U525" s="4">
        <f t="shared" si="439"/>
        <v>115.755632701539</v>
      </c>
      <c r="V525" s="4">
        <f t="shared" si="440"/>
        <v>1.56215733087325</v>
      </c>
      <c r="W525" t="str">
        <f t="shared" si="428"/>
        <v>1-161,483416820191i</v>
      </c>
      <c r="X525" s="4">
        <f t="shared" si="441"/>
        <v>161.486513083674</v>
      </c>
      <c r="Y525" s="4">
        <f t="shared" si="442"/>
        <v>-1.56460381961814</v>
      </c>
      <c r="Z525" t="str">
        <f t="shared" si="429"/>
        <v>-10,2684429763502+43,0873536658422i</v>
      </c>
      <c r="AA525" s="4">
        <f t="shared" si="443"/>
        <v>44.2940285713991</v>
      </c>
      <c r="AB525" s="4">
        <f t="shared" si="444"/>
        <v>1.80474923268993</v>
      </c>
      <c r="AC525" s="67" t="str">
        <f t="shared" si="445"/>
        <v>-2,55211755633728+0,614534925213706i</v>
      </c>
      <c r="AD525" s="68">
        <f t="shared" si="446"/>
        <v>8.38279552230605</v>
      </c>
      <c r="AE525" s="31">
        <f t="shared" si="447"/>
        <v>166.461252291499</v>
      </c>
      <c r="AF525" s="32" t="str">
        <f t="shared" si="448"/>
        <v>326,048966736478</v>
      </c>
      <c r="AG525" s="32" t="str">
        <f t="shared" si="430"/>
        <v>1+6200,96320589532i</v>
      </c>
      <c r="AH525" s="32">
        <f t="shared" si="449"/>
        <v>6200.96328652795</v>
      </c>
      <c r="AI525" s="32">
        <f t="shared" si="450"/>
        <v>1.57063506152721</v>
      </c>
      <c r="AJ525" s="32" t="str">
        <f t="shared" si="431"/>
        <v>1+115,751313176713i</v>
      </c>
      <c r="AK525" s="32">
        <f t="shared" si="451"/>
        <v>115.755632701539</v>
      </c>
      <c r="AL525" s="32">
        <f t="shared" si="452"/>
        <v>1.56215733087325</v>
      </c>
      <c r="AM525" s="32" t="str">
        <f t="shared" si="432"/>
        <v>1-19,102996174721i</v>
      </c>
      <c r="AN525" s="32">
        <f t="shared" si="453"/>
        <v>19.1291521728331</v>
      </c>
      <c r="AO525" s="32">
        <f t="shared" si="454"/>
        <v>-1.518496255187</v>
      </c>
      <c r="AP525" s="30" t="str">
        <f t="shared" si="455"/>
        <v>5,10056263250867-116,31731823174i</v>
      </c>
      <c r="AQ525" s="32">
        <f t="shared" si="456"/>
        <v>41.3212304654501</v>
      </c>
      <c r="AR525" s="31">
        <f t="shared" si="457"/>
        <v>-87.4891648149564</v>
      </c>
      <c r="AS525" t="str">
        <f t="shared" si="433"/>
        <v>-0,000100699300699301</v>
      </c>
      <c r="AT525" t="str">
        <f t="shared" si="434"/>
        <v>1,658757657577i</v>
      </c>
      <c r="AU525">
        <f t="shared" si="458"/>
        <v>1.658757657577</v>
      </c>
      <c r="AV525">
        <f t="shared" si="459"/>
        <v>1.5707963267949</v>
      </c>
      <c r="AW525" t="str">
        <f t="shared" si="435"/>
        <v>1+84,9253496049728i</v>
      </c>
      <c r="AX525">
        <f t="shared" si="460"/>
        <v>84.9312369245077</v>
      </c>
      <c r="AY525">
        <f t="shared" si="461"/>
        <v>1.55902182376076</v>
      </c>
      <c r="AZ525" t="str">
        <f t="shared" si="436"/>
        <v>1+4060,1544800505i</v>
      </c>
      <c r="BA525">
        <f t="shared" si="462"/>
        <v>4060.15460319852</v>
      </c>
      <c r="BB525">
        <f t="shared" si="463"/>
        <v>1.57055003075254</v>
      </c>
      <c r="BC525" s="30" t="str">
        <f t="shared" si="464"/>
        <v>-0,0000334557508986163+0,00290194900425603i</v>
      </c>
      <c r="BD525" s="32">
        <f t="shared" si="465"/>
        <v>-50.745627284922</v>
      </c>
      <c r="BE525" s="31">
        <f t="shared" si="466"/>
        <v>90.6605176059825</v>
      </c>
      <c r="BF525" s="30" t="str">
        <f t="shared" si="467"/>
        <v>-0,00169796600507566-0,00742667472873375i</v>
      </c>
      <c r="BG525" s="68">
        <f t="shared" si="468"/>
        <v>-42.3628317626159</v>
      </c>
      <c r="BH525" s="31">
        <f t="shared" si="469"/>
        <v>-102.878230102518</v>
      </c>
      <c r="BI525" s="30" t="str">
        <f t="shared" si="476"/>
        <v>0,337376282667454+0,0186930558765102i</v>
      </c>
      <c r="BJ525" s="68">
        <f t="shared" si="470"/>
        <v>-9.42439681947181</v>
      </c>
      <c r="BK525" s="31">
        <f t="shared" si="477"/>
        <v>3.17135279102606</v>
      </c>
      <c r="BL525" s="32">
        <f t="shared" si="471"/>
        <v>-42.3628317626159</v>
      </c>
      <c r="BM525" s="31">
        <f t="shared" si="472"/>
        <v>-102.878230102518</v>
      </c>
      <c r="BO525">
        <f t="shared" si="473"/>
        <v>0</v>
      </c>
      <c r="BP525">
        <f t="shared" si="474"/>
        <v>0</v>
      </c>
    </row>
    <row r="526" spans="14:68">
      <c r="N526" s="7">
        <v>8</v>
      </c>
      <c r="O526" s="18">
        <f t="shared" si="478"/>
        <v>1202264.43461742</v>
      </c>
      <c r="P526" s="86" t="str">
        <f t="shared" si="425"/>
        <v>60</v>
      </c>
      <c r="Q526" s="4" t="str">
        <f t="shared" si="426"/>
        <v>1+9870,62563508545i</v>
      </c>
      <c r="R526" s="4">
        <f t="shared" si="437"/>
        <v>9870.6256857408</v>
      </c>
      <c r="S526" s="4">
        <f t="shared" si="438"/>
        <v>1.57069501609449</v>
      </c>
      <c r="T526" s="4" t="str">
        <f t="shared" si="427"/>
        <v>1+118,447507621026i</v>
      </c>
      <c r="U526" s="4">
        <f t="shared" si="439"/>
        <v>118.451728825007</v>
      </c>
      <c r="V526" s="4">
        <f t="shared" si="440"/>
        <v>1.56235396897607</v>
      </c>
      <c r="W526" t="str">
        <f t="shared" si="428"/>
        <v>1-165,244848801654i</v>
      </c>
      <c r="X526" s="4">
        <f t="shared" si="441"/>
        <v>165.247874586881</v>
      </c>
      <c r="Y526" s="4">
        <f t="shared" si="442"/>
        <v>-1.56474477480929</v>
      </c>
      <c r="Z526" t="str">
        <f t="shared" si="429"/>
        <v>-10,79950833262+44,090987062179i</v>
      </c>
      <c r="AA526" s="4">
        <f t="shared" si="443"/>
        <v>45.3943225562797</v>
      </c>
      <c r="AB526" s="4">
        <f t="shared" si="444"/>
        <v>1.81100404278881</v>
      </c>
      <c r="AC526" s="67" t="str">
        <f t="shared" si="445"/>
        <v>-2,54440268398025+0,629396389872345i</v>
      </c>
      <c r="AD526" s="68">
        <f t="shared" si="446"/>
        <v>8.36964628493476</v>
      </c>
      <c r="AE526" s="31">
        <f t="shared" si="447"/>
        <v>166.105933258746</v>
      </c>
      <c r="AF526" s="32" t="str">
        <f t="shared" si="448"/>
        <v>326,048966736478</v>
      </c>
      <c r="AG526" s="32" t="str">
        <f t="shared" si="430"/>
        <v>1+6345,40219398351i</v>
      </c>
      <c r="AH526" s="32">
        <f t="shared" si="449"/>
        <v>6345.40227278072</v>
      </c>
      <c r="AI526" s="32">
        <f t="shared" si="450"/>
        <v>1.5706387323728</v>
      </c>
      <c r="AJ526" s="32" t="str">
        <f t="shared" si="431"/>
        <v>1+118,447507621026i</v>
      </c>
      <c r="AK526" s="32">
        <f t="shared" si="451"/>
        <v>118.451728825007</v>
      </c>
      <c r="AL526" s="32">
        <f t="shared" si="452"/>
        <v>1.56235396897607</v>
      </c>
      <c r="AM526" s="32" t="str">
        <f t="shared" si="432"/>
        <v>1-19,5479621171582i</v>
      </c>
      <c r="AN526" s="32">
        <f t="shared" si="453"/>
        <v>19.573523518617</v>
      </c>
      <c r="AO526" s="32">
        <f t="shared" si="454"/>
        <v>-1.51968465380941</v>
      </c>
      <c r="AP526" s="30" t="str">
        <f t="shared" si="455"/>
        <v>5,10056225684348-119,024312880673i</v>
      </c>
      <c r="AQ526" s="32">
        <f t="shared" si="456"/>
        <v>41.5206816832037</v>
      </c>
      <c r="AR526" s="31">
        <f t="shared" si="457"/>
        <v>-87.5461988309761</v>
      </c>
      <c r="AS526" t="str">
        <f t="shared" si="433"/>
        <v>-0,000100699300699301</v>
      </c>
      <c r="AT526" t="str">
        <f t="shared" si="434"/>
        <v>1,69739508689059i</v>
      </c>
      <c r="AU526">
        <f t="shared" si="458"/>
        <v>1.69739508689059</v>
      </c>
      <c r="AV526">
        <f t="shared" si="459"/>
        <v>1.5707963267949</v>
      </c>
      <c r="AW526" t="str">
        <f t="shared" si="435"/>
        <v>1+86,9035151177622i</v>
      </c>
      <c r="AX526">
        <f t="shared" si="460"/>
        <v>86.9092684345181</v>
      </c>
      <c r="AY526">
        <f t="shared" si="461"/>
        <v>1.55928982023962</v>
      </c>
      <c r="AZ526" t="str">
        <f t="shared" si="436"/>
        <v>1+4154,72762701301i</v>
      </c>
      <c r="BA526">
        <f t="shared" si="462"/>
        <v>4154.72774735784</v>
      </c>
      <c r="BB526">
        <f t="shared" si="463"/>
        <v>1.57055563713472</v>
      </c>
      <c r="BC526" s="30" t="str">
        <f t="shared" si="464"/>
        <v>-0,0000319501934209019+0,0028359099047462i</v>
      </c>
      <c r="BD526" s="32">
        <f t="shared" si="465"/>
        <v>-50.9456001989297</v>
      </c>
      <c r="BE526" s="31">
        <f t="shared" si="466"/>
        <v>90.6454837608564</v>
      </c>
      <c r="BF526" s="30" t="str">
        <f t="shared" si="467"/>
        <v>-0,00170361729815665-0,00723580610955725i</v>
      </c>
      <c r="BG526" s="68">
        <f t="shared" si="468"/>
        <v>-42.5759539139949</v>
      </c>
      <c r="BH526" s="31">
        <f t="shared" si="469"/>
        <v>-103.248582980398</v>
      </c>
      <c r="BI526" s="30" t="str">
        <f t="shared" si="476"/>
        <v>0,33737926385325+0,0182675848422845i</v>
      </c>
      <c r="BJ526" s="68">
        <f t="shared" si="470"/>
        <v>-9.42491851572599</v>
      </c>
      <c r="BK526" s="31">
        <f t="shared" si="477"/>
        <v>3.09928492988031</v>
      </c>
      <c r="BL526" s="32">
        <f t="shared" si="471"/>
        <v>-42.5759539139949</v>
      </c>
      <c r="BM526" s="31">
        <f t="shared" si="472"/>
        <v>-103.248582980398</v>
      </c>
      <c r="BO526">
        <f t="shared" si="473"/>
        <v>0</v>
      </c>
      <c r="BP526">
        <f t="shared" si="474"/>
        <v>0</v>
      </c>
    </row>
    <row r="527" spans="14:68">
      <c r="N527" s="7">
        <v>9</v>
      </c>
      <c r="O527" s="18">
        <f t="shared" si="478"/>
        <v>1230268.77081238</v>
      </c>
      <c r="P527" s="86" t="str">
        <f t="shared" si="425"/>
        <v>60</v>
      </c>
      <c r="Q527" s="4" t="str">
        <f t="shared" si="426"/>
        <v>1+10100,5420418096i</v>
      </c>
      <c r="R527" s="4">
        <f t="shared" si="437"/>
        <v>10100.5420913119</v>
      </c>
      <c r="S527" s="4">
        <f t="shared" si="438"/>
        <v>1.57069732220756</v>
      </c>
      <c r="T527" s="4" t="str">
        <f t="shared" si="427"/>
        <v>1+121,206504501716i</v>
      </c>
      <c r="U527" s="4">
        <f t="shared" si="439"/>
        <v>121.210629622672</v>
      </c>
      <c r="V527" s="4">
        <f t="shared" si="440"/>
        <v>1.56254613168008</v>
      </c>
      <c r="W527" t="str">
        <f t="shared" si="428"/>
        <v>1-169,093895789224i</v>
      </c>
      <c r="X527" s="4">
        <f t="shared" si="441"/>
        <v>169.096852700389</v>
      </c>
      <c r="Y527" s="4">
        <f t="shared" si="442"/>
        <v>-1.56488252170094</v>
      </c>
      <c r="Z527" t="str">
        <f t="shared" si="429"/>
        <v>-11,3556020280507+45,1179980834688i</v>
      </c>
      <c r="AA527" s="4">
        <f t="shared" si="443"/>
        <v>46.5250840781547</v>
      </c>
      <c r="AB527" s="4">
        <f t="shared" si="444"/>
        <v>1.81736188243439</v>
      </c>
      <c r="AC527" s="67" t="str">
        <f t="shared" si="445"/>
        <v>-2,53636978545853+0,644408378876928i</v>
      </c>
      <c r="AD527" s="68">
        <f t="shared" si="446"/>
        <v>8.35591265037012</v>
      </c>
      <c r="AE527" s="31">
        <f t="shared" si="447"/>
        <v>165.744641546074</v>
      </c>
      <c r="AF527" s="32" t="str">
        <f t="shared" si="448"/>
        <v>326,048966736478</v>
      </c>
      <c r="AG527" s="32" t="str">
        <f t="shared" si="430"/>
        <v>1+6493,2055983062i</v>
      </c>
      <c r="AH527" s="32">
        <f t="shared" si="449"/>
        <v>6493.20567530977</v>
      </c>
      <c r="AI527" s="32">
        <f t="shared" si="450"/>
        <v>1.57064231965975</v>
      </c>
      <c r="AJ527" s="32" t="str">
        <f t="shared" si="431"/>
        <v>1+121,206504501716i</v>
      </c>
      <c r="AK527" s="32">
        <f t="shared" si="451"/>
        <v>121.210629622672</v>
      </c>
      <c r="AL527" s="32">
        <f t="shared" si="452"/>
        <v>1.56254613168008</v>
      </c>
      <c r="AM527" s="32" t="str">
        <f t="shared" si="432"/>
        <v>1-20,0032926478575i</v>
      </c>
      <c r="AN527" s="32">
        <f t="shared" si="453"/>
        <v>20.0282729349245</v>
      </c>
      <c r="AO527" s="32">
        <f t="shared" si="454"/>
        <v>-1.52084614081665</v>
      </c>
      <c r="AP527" s="30" t="str">
        <f t="shared" si="455"/>
        <v>5,10056189808598-121,794415795761i</v>
      </c>
      <c r="AQ527" s="32">
        <f t="shared" si="456"/>
        <v>41.7201575388345</v>
      </c>
      <c r="AR527" s="31">
        <f t="shared" si="457"/>
        <v>-87.6019425589326</v>
      </c>
      <c r="AS527" t="str">
        <f t="shared" si="433"/>
        <v>-0,000100699300699301</v>
      </c>
      <c r="AT527" t="str">
        <f t="shared" si="434"/>
        <v>1,73693249754691i</v>
      </c>
      <c r="AU527">
        <f t="shared" si="458"/>
        <v>1.73693249754691</v>
      </c>
      <c r="AV527">
        <f t="shared" si="459"/>
        <v>1.5707963267949</v>
      </c>
      <c r="AW527" t="str">
        <f t="shared" si="435"/>
        <v>1+88,92775802457i</v>
      </c>
      <c r="AX527">
        <f t="shared" si="460"/>
        <v>88.9333803882236</v>
      </c>
      <c r="AY527">
        <f t="shared" si="461"/>
        <v>1.55955171797104</v>
      </c>
      <c r="AZ527" t="str">
        <f t="shared" si="436"/>
        <v>1+4251,50366555763i</v>
      </c>
      <c r="BA527">
        <f t="shared" si="462"/>
        <v>4251.50378316308</v>
      </c>
      <c r="BB527">
        <f t="shared" si="463"/>
        <v>1.57056111590006</v>
      </c>
      <c r="BC527" s="30" t="str">
        <f t="shared" si="464"/>
        <v>-0,0000305123796531762+0,00277137288253009i</v>
      </c>
      <c r="BD527" s="32">
        <f t="shared" si="465"/>
        <v>-51.1455743318498</v>
      </c>
      <c r="BE527" s="31">
        <f t="shared" si="466"/>
        <v>90.6307920363132</v>
      </c>
      <c r="BF527" s="30" t="str">
        <f t="shared" si="467"/>
        <v>-0,00170850522865994-0,00704888887659641i</v>
      </c>
      <c r="BG527" s="68">
        <f t="shared" si="468"/>
        <v>-42.7896616814797</v>
      </c>
      <c r="BH527" s="31">
        <f t="shared" si="469"/>
        <v>-103.624566417613</v>
      </c>
      <c r="BI527" s="30" t="str">
        <f t="shared" si="476"/>
        <v>0,337382110898888+0,0178517963844187i</v>
      </c>
      <c r="BJ527" s="68">
        <f t="shared" si="470"/>
        <v>-9.42541679301531</v>
      </c>
      <c r="BK527" s="31">
        <f t="shared" si="477"/>
        <v>3.02884947738056</v>
      </c>
      <c r="BL527" s="32">
        <f t="shared" si="471"/>
        <v>-42.7896616814797</v>
      </c>
      <c r="BM527" s="31">
        <f t="shared" si="472"/>
        <v>-103.624566417613</v>
      </c>
      <c r="BO527">
        <f t="shared" si="473"/>
        <v>0</v>
      </c>
      <c r="BP527">
        <f t="shared" si="474"/>
        <v>0</v>
      </c>
    </row>
    <row r="528" spans="14:68">
      <c r="N528" s="7">
        <v>10</v>
      </c>
      <c r="O528" s="18">
        <f t="shared" si="478"/>
        <v>1258925.41179417</v>
      </c>
      <c r="P528" s="86" t="str">
        <f t="shared" si="425"/>
        <v>60</v>
      </c>
      <c r="Q528" s="4" t="str">
        <f t="shared" si="426"/>
        <v>1+10335,813889621i</v>
      </c>
      <c r="R528" s="4">
        <f t="shared" si="437"/>
        <v>10335.8139379965</v>
      </c>
      <c r="S528" s="4">
        <f t="shared" si="438"/>
        <v>1.57069957582709</v>
      </c>
      <c r="T528" s="4" t="str">
        <f t="shared" si="427"/>
        <v>1+124,029766675452i</v>
      </c>
      <c r="U528" s="4">
        <f t="shared" si="439"/>
        <v>124.033797900278</v>
      </c>
      <c r="V528" s="4">
        <f t="shared" si="440"/>
        <v>1.5627339208157</v>
      </c>
      <c r="W528" t="str">
        <f t="shared" si="428"/>
        <v>1-173,032598598566i</v>
      </c>
      <c r="X528" s="4">
        <f t="shared" si="441"/>
        <v>173.035488203352</v>
      </c>
      <c r="Y528" s="4">
        <f t="shared" si="442"/>
        <v>-1.56501713330738</v>
      </c>
      <c r="Z528" t="str">
        <f t="shared" si="429"/>
        <v>-11,9379036119276+46,1689312645503i</v>
      </c>
      <c r="AA528" s="4">
        <f t="shared" si="443"/>
        <v>47.6873542646103</v>
      </c>
      <c r="AB528" s="4">
        <f t="shared" si="444"/>
        <v>1.82382452855426</v>
      </c>
      <c r="AC528" s="67" t="str">
        <f t="shared" si="445"/>
        <v>-2,52800844112915+0,659567601336512i</v>
      </c>
      <c r="AD528" s="68">
        <f t="shared" si="446"/>
        <v>8.3415712836065</v>
      </c>
      <c r="AE528" s="31">
        <f t="shared" si="447"/>
        <v>165.377276924018</v>
      </c>
      <c r="AF528" s="32" t="str">
        <f t="shared" si="448"/>
        <v>326,048966736478</v>
      </c>
      <c r="AG528" s="32" t="str">
        <f t="shared" si="430"/>
        <v>1+6644,45178618492i</v>
      </c>
      <c r="AH528" s="32">
        <f t="shared" si="449"/>
        <v>6644.45186143567</v>
      </c>
      <c r="AI528" s="32">
        <f t="shared" si="450"/>
        <v>1.57064582529009</v>
      </c>
      <c r="AJ528" s="32" t="str">
        <f t="shared" si="431"/>
        <v>1+124,029766675452i</v>
      </c>
      <c r="AK528" s="32">
        <f t="shared" si="451"/>
        <v>124.033797900278</v>
      </c>
      <c r="AL528" s="32">
        <f t="shared" si="452"/>
        <v>1.5627339208157</v>
      </c>
      <c r="AM528" s="32" t="str">
        <f t="shared" si="432"/>
        <v>1-20,4692291890938i</v>
      </c>
      <c r="AN528" s="32">
        <f t="shared" si="453"/>
        <v>20.4936415406255</v>
      </c>
      <c r="AO528" s="32">
        <f t="shared" si="454"/>
        <v>-1.52198131950214</v>
      </c>
      <c r="AP528" s="30" t="str">
        <f t="shared" si="455"/>
        <v>5,10056155547525-124,629095722239i</v>
      </c>
      <c r="AQ528" s="32">
        <f t="shared" si="456"/>
        <v>41.9196569288445</v>
      </c>
      <c r="AR528" s="31">
        <f t="shared" si="457"/>
        <v>-87.656424839518</v>
      </c>
      <c r="AS528" t="str">
        <f t="shared" si="433"/>
        <v>-0,000100699300699301</v>
      </c>
      <c r="AT528" t="str">
        <f t="shared" si="434"/>
        <v>1,77739085280447i</v>
      </c>
      <c r="AU528">
        <f t="shared" si="458"/>
        <v>1.77739085280447</v>
      </c>
      <c r="AV528">
        <f t="shared" si="459"/>
        <v>1.5707963267949</v>
      </c>
      <c r="AW528" t="str">
        <f t="shared" si="435"/>
        <v>1+90,9991516057813i</v>
      </c>
      <c r="AX528">
        <f t="shared" si="460"/>
        <v>91.0046459966301</v>
      </c>
      <c r="AY528">
        <f t="shared" si="461"/>
        <v>1.55980765567288</v>
      </c>
      <c r="AZ528" t="str">
        <f t="shared" si="436"/>
        <v>1+4350,53390762107i</v>
      </c>
      <c r="BA528">
        <f t="shared" si="462"/>
        <v>4350.53402254949</v>
      </c>
      <c r="BB528">
        <f t="shared" si="463"/>
        <v>1.5705664699535</v>
      </c>
      <c r="BC528" s="30" t="str">
        <f t="shared" si="464"/>
        <v>-0,0000291392621691652+0,00270830382329978i</v>
      </c>
      <c r="BD528" s="32">
        <f t="shared" si="465"/>
        <v>-51.3455496288366</v>
      </c>
      <c r="BE528" s="31">
        <f t="shared" si="466"/>
        <v>90.6164346508446</v>
      </c>
      <c r="BF528" s="30" t="str">
        <f t="shared" si="467"/>
        <v>-0,00171264515569242-0,00686583423969783i</v>
      </c>
      <c r="BG528" s="68">
        <f t="shared" si="468"/>
        <v>-43.0039783452301</v>
      </c>
      <c r="BH528" s="31">
        <f t="shared" si="469"/>
        <v>-104.006288425137</v>
      </c>
      <c r="BI528" s="30" t="str">
        <f t="shared" si="476"/>
        <v>0,337384829838559+0,0174454702558258i</v>
      </c>
      <c r="BJ528" s="68">
        <f t="shared" si="470"/>
        <v>-9.42589269999212</v>
      </c>
      <c r="BK528" s="31">
        <f t="shared" si="477"/>
        <v>2.96000981132657</v>
      </c>
      <c r="BL528" s="32">
        <f t="shared" si="471"/>
        <v>-43.0039783452301</v>
      </c>
      <c r="BM528" s="31">
        <f t="shared" si="472"/>
        <v>-104.006288425137</v>
      </c>
      <c r="BO528">
        <f t="shared" si="473"/>
        <v>0</v>
      </c>
      <c r="BP528">
        <f t="shared" si="474"/>
        <v>0</v>
      </c>
    </row>
    <row r="529" spans="14:68">
      <c r="N529" s="7">
        <v>11</v>
      </c>
      <c r="O529" s="18">
        <f t="shared" si="478"/>
        <v>1288249.55169314</v>
      </c>
      <c r="P529" s="86" t="str">
        <f t="shared" si="425"/>
        <v>60</v>
      </c>
      <c r="Q529" s="4" t="str">
        <f t="shared" si="426"/>
        <v>1+10576,5659227673i</v>
      </c>
      <c r="R529" s="4">
        <f t="shared" si="437"/>
        <v>10576.5659700416</v>
      </c>
      <c r="S529" s="4">
        <f t="shared" si="438"/>
        <v>1.57070177814798</v>
      </c>
      <c r="T529" s="4" t="str">
        <f t="shared" si="427"/>
        <v>1+126,918791073207i</v>
      </c>
      <c r="U529" s="4">
        <f t="shared" si="439"/>
        <v>126.922730539035</v>
      </c>
      <c r="V529" s="4">
        <f t="shared" si="440"/>
        <v>1.56291743589819</v>
      </c>
      <c r="W529" t="str">
        <f t="shared" si="428"/>
        <v>1-177,063045582041i</v>
      </c>
      <c r="X529" s="4">
        <f t="shared" si="441"/>
        <v>177.065869412453</v>
      </c>
      <c r="Y529" s="4">
        <f t="shared" si="442"/>
        <v>-1.56514868098195</v>
      </c>
      <c r="Z529" t="str">
        <f t="shared" si="429"/>
        <v>-12,5476482239803+47,2443438241063i</v>
      </c>
      <c r="AA529" s="4">
        <f t="shared" si="443"/>
        <v>48.8822206873125</v>
      </c>
      <c r="AB529" s="4">
        <f t="shared" si="444"/>
        <v>1.83039371636667</v>
      </c>
      <c r="AC529" s="67" t="str">
        <f t="shared" si="445"/>
        <v>-2,51930807950618+0,67487024147619i</v>
      </c>
      <c r="AD529" s="68">
        <f t="shared" si="446"/>
        <v>8.3265980652321</v>
      </c>
      <c r="AE529" s="31">
        <f t="shared" si="447"/>
        <v>165.003741516993</v>
      </c>
      <c r="AF529" s="32" t="str">
        <f t="shared" si="448"/>
        <v>326,048966736478</v>
      </c>
      <c r="AG529" s="32" t="str">
        <f t="shared" si="430"/>
        <v>1+6799,22095035039i</v>
      </c>
      <c r="AH529" s="32">
        <f t="shared" si="449"/>
        <v>6799.22102388823</v>
      </c>
      <c r="AI529" s="32">
        <f t="shared" si="450"/>
        <v>1.57064925112254</v>
      </c>
      <c r="AJ529" s="32" t="str">
        <f t="shared" si="431"/>
        <v>1+126,918791073207i</v>
      </c>
      <c r="AK529" s="32">
        <f t="shared" si="451"/>
        <v>126.922730539035</v>
      </c>
      <c r="AL529" s="32">
        <f t="shared" si="452"/>
        <v>1.56291743589819</v>
      </c>
      <c r="AM529" s="32" t="str">
        <f t="shared" si="432"/>
        <v>1-20,9460187865884i</v>
      </c>
      <c r="AN529" s="32">
        <f t="shared" si="453"/>
        <v>20.9698760847105</v>
      </c>
      <c r="AO529" s="32">
        <f t="shared" si="454"/>
        <v>-1.5230907800434</v>
      </c>
      <c r="AP529" s="30" t="str">
        <f t="shared" si="455"/>
        <v>5,10056122828452-127,529855644926i</v>
      </c>
      <c r="AQ529" s="32">
        <f t="shared" si="456"/>
        <v>42.1191787989282</v>
      </c>
      <c r="AR529" s="31">
        <f t="shared" si="457"/>
        <v>-87.7096738921049</v>
      </c>
      <c r="AS529" t="str">
        <f t="shared" si="433"/>
        <v>-0,000100699300699301</v>
      </c>
      <c r="AT529" t="str">
        <f t="shared" si="434"/>
        <v>1,81879160421873i</v>
      </c>
      <c r="AU529">
        <f t="shared" si="458"/>
        <v>1.81879160421873</v>
      </c>
      <c r="AV529">
        <f t="shared" si="459"/>
        <v>1.5707963267949</v>
      </c>
      <c r="AW529" t="str">
        <f t="shared" si="435"/>
        <v>1+93,1187941416903i</v>
      </c>
      <c r="AX529">
        <f t="shared" si="460"/>
        <v>93.1241634722293</v>
      </c>
      <c r="AY529">
        <f t="shared" si="461"/>
        <v>1.5600577689125</v>
      </c>
      <c r="AZ529" t="str">
        <f t="shared" si="436"/>
        <v>1+4451,87086034846i</v>
      </c>
      <c r="BA529">
        <f t="shared" si="462"/>
        <v>4451.87097266079</v>
      </c>
      <c r="BB529">
        <f t="shared" si="463"/>
        <v>1.57057170213382</v>
      </c>
      <c r="BC529" s="30" t="str">
        <f t="shared" si="464"/>
        <v>-0,0000278279305636489+0,00264666938413713i</v>
      </c>
      <c r="BD529" s="32">
        <f t="shared" si="465"/>
        <v>-51.5455260375108</v>
      </c>
      <c r="BE529" s="31">
        <f t="shared" si="466"/>
        <v>90.6024039996637</v>
      </c>
      <c r="BF529" s="30" t="str">
        <f t="shared" si="467"/>
        <v>-0,00171605127607533-0,00668655580545759i</v>
      </c>
      <c r="BG529" s="68">
        <f t="shared" si="468"/>
        <v>-43.2189279722787</v>
      </c>
      <c r="BH529" s="31">
        <f t="shared" si="469"/>
        <v>-104.393854483344</v>
      </c>
      <c r="BI529" s="30" t="str">
        <f t="shared" si="476"/>
        <v>0,337387426435157+0,0170483912124967i</v>
      </c>
      <c r="BJ529" s="68">
        <f t="shared" si="470"/>
        <v>-9.42634723858255</v>
      </c>
      <c r="BK529" s="31">
        <f t="shared" si="477"/>
        <v>2.89273010755874</v>
      </c>
      <c r="BL529" s="32">
        <f t="shared" si="471"/>
        <v>-43.2189279722787</v>
      </c>
      <c r="BM529" s="31">
        <f t="shared" si="472"/>
        <v>-104.393854483344</v>
      </c>
      <c r="BO529">
        <f t="shared" si="473"/>
        <v>0</v>
      </c>
      <c r="BP529">
        <f t="shared" si="474"/>
        <v>0</v>
      </c>
    </row>
    <row r="530" spans="14:68">
      <c r="N530" s="7">
        <v>12</v>
      </c>
      <c r="O530" s="18">
        <f t="shared" si="478"/>
        <v>1318256.73855641</v>
      </c>
      <c r="P530" s="86" t="str">
        <f t="shared" si="425"/>
        <v>60</v>
      </c>
      <c r="Q530" s="4" t="str">
        <f t="shared" si="426"/>
        <v>1+10822,9257911631i</v>
      </c>
      <c r="R530" s="4">
        <f t="shared" si="437"/>
        <v>10822.9258373613</v>
      </c>
      <c r="S530" s="4">
        <f t="shared" si="438"/>
        <v>1.57070393033793</v>
      </c>
      <c r="T530" s="4" t="str">
        <f t="shared" si="427"/>
        <v>1+129,875109493958i</v>
      </c>
      <c r="U530" s="4">
        <f t="shared" si="439"/>
        <v>129.878959289284</v>
      </c>
      <c r="V530" s="4">
        <f t="shared" si="440"/>
        <v>1.56309677418022</v>
      </c>
      <c r="W530" t="str">
        <f t="shared" si="428"/>
        <v>1-181,18737373599i</v>
      </c>
      <c r="X530" s="4">
        <f t="shared" si="441"/>
        <v>181.190133289165</v>
      </c>
      <c r="Y530" s="4">
        <f t="shared" si="442"/>
        <v>-1.56527723445474</v>
      </c>
      <c r="Z530" t="str">
        <f t="shared" si="429"/>
        <v>-13,1861292142808+48,3448059601103i</v>
      </c>
      <c r="AA530" s="4">
        <f t="shared" si="443"/>
        <v>50.110819859352</v>
      </c>
      <c r="AB530" s="4">
        <f t="shared" si="444"/>
        <v>1.83707113510962</v>
      </c>
      <c r="AC530" s="67" t="str">
        <f t="shared" si="445"/>
        <v>-2,51025799527092+0,690311933697573i</v>
      </c>
      <c r="AD530" s="68">
        <f t="shared" si="446"/>
        <v>8.31096808164346</v>
      </c>
      <c r="AE530" s="31">
        <f t="shared" si="447"/>
        <v>164.623940048812</v>
      </c>
      <c r="AF530" s="32" t="str">
        <f t="shared" si="448"/>
        <v>326,048966736478</v>
      </c>
      <c r="AG530" s="32" t="str">
        <f t="shared" si="430"/>
        <v>1+6957,59515146202i</v>
      </c>
      <c r="AH530" s="32">
        <f t="shared" si="449"/>
        <v>6957.59522332593</v>
      </c>
      <c r="AI530" s="32">
        <f t="shared" si="450"/>
        <v>1.57065259897352</v>
      </c>
      <c r="AJ530" s="32" t="str">
        <f t="shared" si="431"/>
        <v>1+129,875109493958i</v>
      </c>
      <c r="AK530" s="32">
        <f t="shared" si="451"/>
        <v>129.878959289284</v>
      </c>
      <c r="AL530" s="32">
        <f t="shared" si="452"/>
        <v>1.56309677418022</v>
      </c>
      <c r="AM530" s="32" t="str">
        <f t="shared" si="432"/>
        <v>1-21,4339142404969i</v>
      </c>
      <c r="AN530" s="32">
        <f t="shared" si="453"/>
        <v>21.4572290771426</v>
      </c>
      <c r="AO530" s="32">
        <f t="shared" si="454"/>
        <v>-1.52417509975977</v>
      </c>
      <c r="AP530" s="30" t="str">
        <f t="shared" si="455"/>
        <v>5,10056091581984-130,498233585129i</v>
      </c>
      <c r="AQ530" s="32">
        <f t="shared" si="456"/>
        <v>42.3187221418009</v>
      </c>
      <c r="AR530" s="31">
        <f t="shared" si="457"/>
        <v>-87.7617173265622</v>
      </c>
      <c r="AS530" t="str">
        <f t="shared" si="433"/>
        <v>-0,000100699300699301</v>
      </c>
      <c r="AT530" t="str">
        <f t="shared" si="434"/>
        <v>1,86115670301609i</v>
      </c>
      <c r="AU530">
        <f t="shared" si="458"/>
        <v>1.86115670301609</v>
      </c>
      <c r="AV530">
        <f t="shared" si="459"/>
        <v>1.5707963267949</v>
      </c>
      <c r="AW530" t="str">
        <f t="shared" si="435"/>
        <v>1+95,2878094948255i</v>
      </c>
      <c r="AX530">
        <f t="shared" si="460"/>
        <v>95.2930566112881</v>
      </c>
      <c r="AY530">
        <f t="shared" si="461"/>
        <v>1.56030219017801</v>
      </c>
      <c r="AZ530" t="str">
        <f t="shared" si="436"/>
        <v>1+4555,56825393346i</v>
      </c>
      <c r="BA530">
        <f t="shared" si="462"/>
        <v>4555.56836368925</v>
      </c>
      <c r="BB530">
        <f t="shared" si="463"/>
        <v>1.57057681521518</v>
      </c>
      <c r="BC530" s="30" t="str">
        <f t="shared" si="464"/>
        <v>-0,0000265756052974339+0,0025864369762979i</v>
      </c>
      <c r="BD530" s="32">
        <f t="shared" si="465"/>
        <v>-51.7455035078497</v>
      </c>
      <c r="BE530" s="31">
        <f t="shared" si="466"/>
        <v>90.5886926507092</v>
      </c>
      <c r="BF530" s="30" t="str">
        <f t="shared" si="467"/>
        <v>-0,00171873668481806-0,0065109695564982i</v>
      </c>
      <c r="BG530" s="68">
        <f t="shared" si="468"/>
        <v>-43.4345354262062</v>
      </c>
      <c r="BH530" s="31">
        <f t="shared" si="469"/>
        <v>-104.787367300479</v>
      </c>
      <c r="BI530" s="30" t="str">
        <f t="shared" si="476"/>
        <v>0,337389906192444+0,016660348900307i</v>
      </c>
      <c r="BJ530" s="68">
        <f t="shared" si="470"/>
        <v>-9.42678136604881</v>
      </c>
      <c r="BK530" s="31">
        <f t="shared" si="477"/>
        <v>2.82697532414702</v>
      </c>
      <c r="BL530" s="32">
        <f t="shared" si="471"/>
        <v>-43.4345354262062</v>
      </c>
      <c r="BM530" s="31">
        <f t="shared" si="472"/>
        <v>-104.787367300479</v>
      </c>
      <c r="BO530">
        <f t="shared" si="473"/>
        <v>0</v>
      </c>
      <c r="BP530">
        <f t="shared" si="474"/>
        <v>0</v>
      </c>
    </row>
    <row r="531" spans="14:68">
      <c r="N531" s="7">
        <v>13</v>
      </c>
      <c r="O531" s="18">
        <f t="shared" si="478"/>
        <v>1348962.88259166</v>
      </c>
      <c r="P531" s="86" t="str">
        <f t="shared" ref="P531:P560" si="479">COMPLEX(Adc,0)</f>
        <v>60</v>
      </c>
      <c r="Q531" s="4" t="str">
        <f t="shared" ref="Q531:Q560" si="480">IMSUM(COMPLEX(1,0),IMDIV(COMPLEX(0,2*PI()*O531),COMPLEX(wp_lf,0)))</f>
        <v>1+11075,0241180719i</v>
      </c>
      <c r="R531" s="4">
        <f t="shared" si="437"/>
        <v>11075.0241632185</v>
      </c>
      <c r="S531" s="4">
        <f t="shared" si="438"/>
        <v>1.57070603353805</v>
      </c>
      <c r="T531" s="4" t="str">
        <f t="shared" ref="T531:T560" si="481">IMSUM(COMPLEX(1,0),IMDIV(COMPLEX(0,2*PI()*O531),COMPLEX(wz_esr,0)))</f>
        <v>1+132,900289416863i</v>
      </c>
      <c r="U531" s="4">
        <f t="shared" si="439"/>
        <v>132.904051582658</v>
      </c>
      <c r="V531" s="4">
        <f t="shared" si="440"/>
        <v>1.56327203070315</v>
      </c>
      <c r="W531" t="str">
        <f t="shared" ref="W531:W560" si="482">IMSUB(COMPLEX(1,0),IMDIV(COMPLEX(0,2*PI()*O531),COMPLEX(wz_rhp,0)))</f>
        <v>1-185,407769833793i</v>
      </c>
      <c r="X531" s="4">
        <f t="shared" si="441"/>
        <v>185.410466572793</v>
      </c>
      <c r="Y531" s="4">
        <f t="shared" si="442"/>
        <v>-1.56540286186951</v>
      </c>
      <c r="Z531" t="str">
        <f t="shared" ref="Z531:Z560" si="483">IMSUM(COMPLEX(1,0),IMDIV(COMPLEX(0,2*PI()*O531),COMPLEX(Q*(wsl/2),0)),IMDIV(IMPOWER(COMPLEX(0,2*PI()*O531),2),IMPOWER(COMPLEX(wsl/2,0),2)))</f>
        <v>-13,8547008866123+49,4709011521539i</v>
      </c>
      <c r="AA531" s="4">
        <f t="shared" si="443"/>
        <v>51.374339873751</v>
      </c>
      <c r="AB531" s="4">
        <f t="shared" si="444"/>
        <v>1.84385842355356</v>
      </c>
      <c r="AC531" s="67" t="str">
        <f t="shared" si="445"/>
        <v>-2,50084736941926+0,705887737558365i</v>
      </c>
      <c r="AD531" s="68">
        <f t="shared" si="446"/>
        <v>8.29465561662568</v>
      </c>
      <c r="AE531" s="31">
        <f t="shared" si="447"/>
        <v>164.237780100584</v>
      </c>
      <c r="AF531" s="32" t="str">
        <f t="shared" si="448"/>
        <v>326,048966736478</v>
      </c>
      <c r="AG531" s="32" t="str">
        <f t="shared" ref="AG531:AG560" si="484">IMSUM(COMPLEX(1,0),IMDIV(COMPLEX(0,2*PI()*O531),COMPLEX(wp_lf_DCM,0)))</f>
        <v>1+7119,65836161766i</v>
      </c>
      <c r="AH531" s="32">
        <f t="shared" si="449"/>
        <v>7119.65843184575</v>
      </c>
      <c r="AI531" s="32">
        <f t="shared" si="450"/>
        <v>1.57065587061812</v>
      </c>
      <c r="AJ531" s="32" t="str">
        <f t="shared" ref="AJ531:AJ560" si="485">IMSUM(COMPLEX(1,0),IMDIV(COMPLEX(0,2*PI()*O531),COMPLEX(wz1_dcm,0)))</f>
        <v>1+132,900289416863i</v>
      </c>
      <c r="AK531" s="32">
        <f t="shared" si="451"/>
        <v>132.904051582658</v>
      </c>
      <c r="AL531" s="32">
        <f t="shared" si="452"/>
        <v>1.56327203070315</v>
      </c>
      <c r="AM531" s="32" t="str">
        <f t="shared" ref="AM531:AM560" si="486">IMSUB(COMPLEX(1,0),IMDIV(COMPLEX(0,2*PI()*O531),COMPLEX(wz2_dcm,0)))</f>
        <v>1-21,9331742394471i</v>
      </c>
      <c r="AN531" s="32">
        <f t="shared" si="453"/>
        <v>21.9559589227605</v>
      </c>
      <c r="AO531" s="32">
        <f t="shared" si="454"/>
        <v>-1.52523484336701</v>
      </c>
      <c r="AP531" s="30" t="str">
        <f t="shared" si="455"/>
        <v>5,10056061741836-133,535803416122i</v>
      </c>
      <c r="AQ531" s="32">
        <f t="shared" si="456"/>
        <v>42.5182859951194</v>
      </c>
      <c r="AR531" s="31">
        <f t="shared" si="457"/>
        <v>-87.8125821549551</v>
      </c>
      <c r="AS531" t="str">
        <f t="shared" ref="AS531:AS560" si="487">COMPLEX(Adc_ea,0)</f>
        <v>-0,000100699300699301</v>
      </c>
      <c r="AT531" t="str">
        <f t="shared" ref="AT531:AT560" si="488">COMPLEX(0,2*PI()*O531*wp0_ea)</f>
        <v>1,90450861173272i</v>
      </c>
      <c r="AU531">
        <f t="shared" si="458"/>
        <v>1.90450861173272</v>
      </c>
      <c r="AV531">
        <f t="shared" si="459"/>
        <v>1.5707963267949</v>
      </c>
      <c r="AW531" t="str">
        <f t="shared" ref="AW531:AW560" si="489">IMSUM(COMPLEX(1,0),IMDIV(COMPLEX(0,2*PI()*O531),COMPLEX(wp1_ea,0)))</f>
        <v>1+97,5073477058387i</v>
      </c>
      <c r="AX531">
        <f t="shared" si="460"/>
        <v>97.5124753897024</v>
      </c>
      <c r="AY531">
        <f t="shared" si="461"/>
        <v>1.56054104894791</v>
      </c>
      <c r="AZ531" t="str">
        <f t="shared" ref="AZ531:AZ560" si="490">IMSUM(COMPLEX(1,0),IMDIV(COMPLEX(0,2*PI()*O531),COMPLEX(wz_ea,0)))</f>
        <v>1+4661,68107010679i</v>
      </c>
      <c r="BA531">
        <f t="shared" si="462"/>
        <v>4661.68117736423</v>
      </c>
      <c r="BB531">
        <f t="shared" si="463"/>
        <v>1.57058181190861</v>
      </c>
      <c r="BC531" s="30" t="str">
        <f t="shared" si="464"/>
        <v>-0,0000253796318182974+0,00252757474836503i</v>
      </c>
      <c r="BD531" s="32">
        <f t="shared" si="465"/>
        <v>-51.9454819920812</v>
      </c>
      <c r="BE531" s="31">
        <f t="shared" si="466"/>
        <v>90.5752933407395</v>
      </c>
      <c r="BF531" s="30" t="str">
        <f t="shared" si="467"/>
        <v>-0,00172071343516343-0,00633899383134352i</v>
      </c>
      <c r="BG531" s="68">
        <f t="shared" si="468"/>
        <v>-43.6508263754555</v>
      </c>
      <c r="BH531" s="31">
        <f t="shared" si="469"/>
        <v>-105.186926558676</v>
      </c>
      <c r="BI531" s="30" t="str">
        <f t="shared" si="476"/>
        <v>0,33739227436669+0,0162811377443535i</v>
      </c>
      <c r="BJ531" s="68">
        <f t="shared" si="470"/>
        <v>-9.42719599696179</v>
      </c>
      <c r="BK531" s="31">
        <f t="shared" si="477"/>
        <v>2.76271118578441</v>
      </c>
      <c r="BL531" s="32">
        <f t="shared" si="471"/>
        <v>-43.6508263754555</v>
      </c>
      <c r="BM531" s="31">
        <f t="shared" si="472"/>
        <v>-105.186926558676</v>
      </c>
      <c r="BO531">
        <f t="shared" si="473"/>
        <v>0</v>
      </c>
      <c r="BP531">
        <f t="shared" si="474"/>
        <v>0</v>
      </c>
    </row>
    <row r="532" spans="14:68">
      <c r="N532" s="7">
        <v>14</v>
      </c>
      <c r="O532" s="18">
        <f t="shared" si="478"/>
        <v>1380384.26460288</v>
      </c>
      <c r="P532" s="86" t="str">
        <f t="shared" si="479"/>
        <v>60</v>
      </c>
      <c r="Q532" s="4" t="str">
        <f t="shared" si="480"/>
        <v>1+11332,9945693632i</v>
      </c>
      <c r="R532" s="4">
        <f t="shared" ref="R532:R560" si="491">IMABS(Q532)</f>
        <v>11332.9946134822</v>
      </c>
      <c r="S532" s="4">
        <f t="shared" ref="S532:S560" si="492">IMARGUMENT(Q532)</f>
        <v>1.57070808886349</v>
      </c>
      <c r="T532" s="4" t="str">
        <f t="shared" si="481"/>
        <v>1+135,995934832359i</v>
      </c>
      <c r="U532" s="4">
        <f t="shared" ref="U532:U560" si="493">IMABS(T532)</f>
        <v>135.999611363148</v>
      </c>
      <c r="V532" s="4">
        <f t="shared" ref="V532:V560" si="494">IMARGUMENT(T532)</f>
        <v>1.56344329834721</v>
      </c>
      <c r="W532" t="str">
        <f t="shared" si="482"/>
        <v>1-189,726471585322i</v>
      </c>
      <c r="X532" s="4">
        <f t="shared" ref="X532:X560" si="495">IMABS(W532)</f>
        <v>189.729106939911</v>
      </c>
      <c r="Y532" s="4">
        <f t="shared" ref="Y532:Y560" si="496">IMARGUMENT(W532)</f>
        <v>-1.56552562981969</v>
      </c>
      <c r="Z532" t="str">
        <f t="shared" si="483"/>
        <v>-14,5547813711285+50,6232264708125i</v>
      </c>
      <c r="AA532" s="4">
        <f t="shared" ref="AA532:AA560" si="497">IMABS(Z532)</f>
        <v>52.6740231905303</v>
      </c>
      <c r="AB532" s="4">
        <f t="shared" ref="AB532:AB560" si="498">IMARGUMENT(Z532)</f>
        <v>1.85075716529787</v>
      </c>
      <c r="AC532" s="67" t="str">
        <f t="shared" ref="AC532:AC560" si="499">(IMDIV(IMPRODUCT(P532,T532,W532),IMPRODUCT(Q532,Z532)))</f>
        <v>-2,49106529165787+0,721592112809266i</v>
      </c>
      <c r="AD532" s="68">
        <f t="shared" ref="AD532:AD560" si="500">20*LOG(IMABS(AC532))</f>
        <v>8.27763414446197</v>
      </c>
      <c r="AE532" s="31">
        <f t="shared" ref="AE532:AE560" si="501">(180/PI())*IMARGUMENT(AC532)</f>
        <v>163.845172380978</v>
      </c>
      <c r="AF532" s="32" t="str">
        <f t="shared" ref="AF532:AF560" si="502">COMPLEX($B$68,0)</f>
        <v>326,048966736478</v>
      </c>
      <c r="AG532" s="32" t="str">
        <f t="shared" si="484"/>
        <v>1+7285,49650887636i</v>
      </c>
      <c r="AH532" s="32">
        <f t="shared" ref="AH532:AH560" si="503">IMABS(AG532)</f>
        <v>7285.49657750586</v>
      </c>
      <c r="AI532" s="32">
        <f t="shared" ref="AI532:AI560" si="504">IMARGUMENT(AG532)</f>
        <v>1.570659067791</v>
      </c>
      <c r="AJ532" s="32" t="str">
        <f t="shared" si="485"/>
        <v>1+135,995934832359i</v>
      </c>
      <c r="AK532" s="32">
        <f t="shared" ref="AK532:AK560" si="505">IMABS(AJ532)</f>
        <v>135.999611363148</v>
      </c>
      <c r="AL532" s="32">
        <f t="shared" ref="AL532:AL560" si="506">IMARGUMENT(AJ532)</f>
        <v>1.56344329834721</v>
      </c>
      <c r="AM532" s="32" t="str">
        <f t="shared" si="486"/>
        <v>1-22,4440634976988i</v>
      </c>
      <c r="AN532" s="32">
        <f t="shared" ref="AN532:AN560" si="507">IMABS(AM532)</f>
        <v>22.4663300583058</v>
      </c>
      <c r="AO532" s="32">
        <f t="shared" ref="AO532:AO560" si="508">IMARGUMENT(AM532)</f>
        <v>-1.52627056322859</v>
      </c>
      <c r="AP532" s="30" t="str">
        <f t="shared" ref="AP532:AP560" si="509">(IMDIV(IMPRODUCT(AF532,AJ532,AM532),IMPRODUCT(AG532)))</f>
        <v>5,10056033244717-136,644175697638i</v>
      </c>
      <c r="AQ532" s="32">
        <f t="shared" ref="AQ532:AQ560" si="510">20*LOG(IMABS(AP532))</f>
        <v>42.7178694394947</v>
      </c>
      <c r="AR532" s="31">
        <f t="shared" ref="AR532:AR560" si="511">(180/PI())*IMARGUMENT(AP532)</f>
        <v>-87.8622948031217</v>
      </c>
      <c r="AS532" t="str">
        <f t="shared" si="487"/>
        <v>-0,000100699300699301</v>
      </c>
      <c r="AT532" t="str">
        <f t="shared" si="488"/>
        <v>1,94887031612443i</v>
      </c>
      <c r="AU532">
        <f t="shared" ref="AU532:AU560" si="512">IMABS(AT532)</f>
        <v>1.94887031612443</v>
      </c>
      <c r="AV532">
        <f t="shared" ref="AV532:AV560" si="513">IMARGUMENT(AT532)</f>
        <v>1.5707963267949</v>
      </c>
      <c r="AW532" t="str">
        <f t="shared" si="489"/>
        <v>1+99,7785856032667i</v>
      </c>
      <c r="AX532">
        <f t="shared" ref="AX532:AX560" si="514">IMABS(AW532)</f>
        <v>99.7835965727254</v>
      </c>
      <c r="AY532">
        <f t="shared" ref="AY532:AY560" si="515">IMARGUMENT(AW532)</f>
        <v>1.5607744717592</v>
      </c>
      <c r="AZ532" t="str">
        <f t="shared" si="490"/>
        <v>1+4770,26557128809i</v>
      </c>
      <c r="BA532">
        <f t="shared" ref="BA532:BA560" si="516">IMABS(AZ532)</f>
        <v>4770.26567610406</v>
      </c>
      <c r="BB532">
        <f t="shared" ref="BB532:BB560" si="517">IMARGUMENT(AZ532)</f>
        <v>1.57058669486342</v>
      </c>
      <c r="BC532" s="30" t="str">
        <f t="shared" ref="BC532:BC560" si="518">IMPRODUCT(AS532,IMDIV(AZ532,IMPRODUCT(AT532,AW532)))</f>
        <v>-0,00002423747494558+0,00247005156976418i</v>
      </c>
      <c r="BD532" s="32">
        <f t="shared" ref="BD532:BD560" si="519">20*LOG(IMABS(BC532))</f>
        <v>-52.1454614445822</v>
      </c>
      <c r="BE532" s="31">
        <f t="shared" ref="BE532:BE560" si="520">(180/PI())*IMARGUMENT(BC532)</f>
        <v>90.5621989715129</v>
      </c>
      <c r="BF532" s="30" t="str">
        <f t="shared" ref="BF532:BF560" si="521">IMPRODUCT(AC532,BC532)</f>
        <v>-0,00172199259837962-0,00617054930479973i</v>
      </c>
      <c r="BG532" s="68">
        <f t="shared" ref="BG532:BG560" si="522">20*LOG(IMABS(BF532))</f>
        <v>-43.8678273001203</v>
      </c>
      <c r="BH532" s="31">
        <f t="shared" ref="BH532:BH560" si="523">(180/PI())*IMARGUMENT(BF532)</f>
        <v>-105.59262864751</v>
      </c>
      <c r="BI532" s="30" t="str">
        <f t="shared" si="476"/>
        <v>0,337394535977817+0,015910556840769i</v>
      </c>
      <c r="BJ532" s="68">
        <f t="shared" ref="BJ532:BJ560" si="524">20*LOG(IMABS(BI532))</f>
        <v>-9.42759200508752</v>
      </c>
      <c r="BK532" s="31">
        <f t="shared" si="477"/>
        <v>2.69990416839116</v>
      </c>
      <c r="BL532" s="32">
        <f t="shared" ref="BL532:BL560" si="525">IF($B$31=0,BJ532,BG532)</f>
        <v>-43.8678273001203</v>
      </c>
      <c r="BM532" s="31">
        <f t="shared" ref="BM532:BM560" si="526">IF($B$31=0,BK532,BH532)</f>
        <v>-105.59262864751</v>
      </c>
      <c r="BO532">
        <f t="shared" ref="BO532:BO559" si="527">SUM((BL533&lt;0)*(BL532&gt;0))*O532</f>
        <v>0</v>
      </c>
      <c r="BP532">
        <f t="shared" ref="BP532:BP559" si="528">IF(BO532&gt;0,BM532,0)</f>
        <v>0</v>
      </c>
    </row>
    <row r="533" spans="14:68">
      <c r="N533" s="7">
        <v>15</v>
      </c>
      <c r="O533" s="18">
        <f t="shared" si="478"/>
        <v>1412537.54462276</v>
      </c>
      <c r="P533" s="86" t="str">
        <f t="shared" si="479"/>
        <v>60</v>
      </c>
      <c r="Q533" s="4" t="str">
        <f t="shared" si="480"/>
        <v>1+11596,9739243853i</v>
      </c>
      <c r="R533" s="4">
        <f t="shared" si="491"/>
        <v>11596.9739675</v>
      </c>
      <c r="S533" s="4">
        <f t="shared" si="492"/>
        <v>1.57071009740402</v>
      </c>
      <c r="T533" s="4" t="str">
        <f t="shared" si="481"/>
        <v>1+139,163687092624i</v>
      </c>
      <c r="U533" s="4">
        <f t="shared" si="493"/>
        <v>139.167279937541</v>
      </c>
      <c r="V533" s="4">
        <f t="shared" si="494"/>
        <v>1.56361066788056</v>
      </c>
      <c r="W533" t="str">
        <f t="shared" si="482"/>
        <v>1-194,145768823415i</v>
      </c>
      <c r="X533" s="4">
        <f t="shared" si="495"/>
        <v>194.148344190814</v>
      </c>
      <c r="Y533" s="4">
        <f t="shared" si="496"/>
        <v>-1.56564560338368</v>
      </c>
      <c r="Z533" t="str">
        <f t="shared" si="483"/>
        <v>-15,2878556323992+51,8023928942244i</v>
      </c>
      <c r="AA533" s="4">
        <f t="shared" si="497"/>
        <v>54.0111695800477</v>
      </c>
      <c r="AB533" s="4">
        <f t="shared" si="498"/>
        <v>1.85776888385222</v>
      </c>
      <c r="AC533" s="67" t="str">
        <f t="shared" si="499"/>
        <v>-2,48090078515522+0,737418894642365i</v>
      </c>
      <c r="AD533" s="68">
        <f t="shared" si="500"/>
        <v>8.25987632474033</v>
      </c>
      <c r="AE533" s="31">
        <f t="shared" si="501"/>
        <v>163.446031008795</v>
      </c>
      <c r="AF533" s="32" t="str">
        <f t="shared" si="502"/>
        <v>326,048966736478</v>
      </c>
      <c r="AG533" s="32" t="str">
        <f t="shared" si="484"/>
        <v>1+7455,19752281914i</v>
      </c>
      <c r="AH533" s="32">
        <f t="shared" si="503"/>
        <v>7455.19758988644</v>
      </c>
      <c r="AI533" s="32">
        <f t="shared" si="504"/>
        <v>1.57066219218734</v>
      </c>
      <c r="AJ533" s="32" t="str">
        <f t="shared" si="485"/>
        <v>1+139,163687092624i</v>
      </c>
      <c r="AK533" s="32">
        <f t="shared" si="505"/>
        <v>139.167279937541</v>
      </c>
      <c r="AL533" s="32">
        <f t="shared" si="506"/>
        <v>1.56361066788056</v>
      </c>
      <c r="AM533" s="32" t="str">
        <f t="shared" si="486"/>
        <v>1-22,9668528954997i</v>
      </c>
      <c r="AN533" s="32">
        <f t="shared" si="507"/>
        <v>22.9886130926492</v>
      </c>
      <c r="AO533" s="32">
        <f t="shared" si="508"/>
        <v>-1.52728279960355</v>
      </c>
      <c r="AP533" s="30" t="str">
        <f t="shared" si="509"/>
        <v>5,10056006030177-139,824998529807i</v>
      </c>
      <c r="AQ533" s="32">
        <f t="shared" si="510"/>
        <v>42.9174715965895</v>
      </c>
      <c r="AR533" s="31">
        <f t="shared" si="511"/>
        <v>-87.9108811221206</v>
      </c>
      <c r="AS533" t="str">
        <f t="shared" si="487"/>
        <v>-0,000100699300699301</v>
      </c>
      <c r="AT533" t="str">
        <f t="shared" si="488"/>
        <v>1,99426533735412i</v>
      </c>
      <c r="AU533">
        <f t="shared" si="512"/>
        <v>1.99426533735412</v>
      </c>
      <c r="AV533">
        <f t="shared" si="513"/>
        <v>1.5707963267949</v>
      </c>
      <c r="AW533" t="str">
        <f t="shared" si="489"/>
        <v>1+102,102727427509i</v>
      </c>
      <c r="AX533">
        <f t="shared" si="514"/>
        <v>102.107624338911</v>
      </c>
      <c r="AY533">
        <f t="shared" si="515"/>
        <v>1.56100258227394</v>
      </c>
      <c r="AZ533" t="str">
        <f t="shared" si="490"/>
        <v>1+4881,37933041729i</v>
      </c>
      <c r="BA533">
        <f t="shared" si="516"/>
        <v>4881.37943284735</v>
      </c>
      <c r="BB533">
        <f t="shared" si="517"/>
        <v>1.57059146666862</v>
      </c>
      <c r="BC533" s="30" t="str">
        <f t="shared" si="518"/>
        <v>-0,0000231467135066352+0,0024138370146343i</v>
      </c>
      <c r="BD533" s="32">
        <f t="shared" si="519"/>
        <v>-52.3454418217823</v>
      </c>
      <c r="BE533" s="31">
        <f t="shared" si="520"/>
        <v>90.5494026060545</v>
      </c>
      <c r="BF533" s="30" t="str">
        <f t="shared" si="521"/>
        <v>-0,00172258432346608-0,00600555896873163i</v>
      </c>
      <c r="BG533" s="68">
        <f t="shared" si="522"/>
        <v>-44.085565497042</v>
      </c>
      <c r="BH533" s="31">
        <f t="shared" si="523"/>
        <v>-106.00456638515</v>
      </c>
      <c r="BI533" s="30" t="str">
        <f t="shared" si="476"/>
        <v>0,337396695819996+0,0155484098509569i</v>
      </c>
      <c r="BJ533" s="68">
        <f t="shared" si="524"/>
        <v>-9.42797022519281</v>
      </c>
      <c r="BK533" s="31">
        <f t="shared" si="477"/>
        <v>2.63852148393396</v>
      </c>
      <c r="BL533" s="32">
        <f t="shared" si="525"/>
        <v>-44.085565497042</v>
      </c>
      <c r="BM533" s="31">
        <f t="shared" si="526"/>
        <v>-106.00456638515</v>
      </c>
      <c r="BO533">
        <f t="shared" si="527"/>
        <v>0</v>
      </c>
      <c r="BP533">
        <f t="shared" si="528"/>
        <v>0</v>
      </c>
    </row>
    <row r="534" spans="14:68">
      <c r="N534" s="7">
        <v>16</v>
      </c>
      <c r="O534" s="18">
        <f t="shared" si="478"/>
        <v>1445439.77074593</v>
      </c>
      <c r="P534" s="86" t="str">
        <f t="shared" si="479"/>
        <v>60</v>
      </c>
      <c r="Q534" s="4" t="str">
        <f t="shared" si="480"/>
        <v>1+11867,1021484861i</v>
      </c>
      <c r="R534" s="4">
        <f t="shared" si="491"/>
        <v>11867.1021906194</v>
      </c>
      <c r="S534" s="4">
        <f t="shared" si="492"/>
        <v>1.57071206022458</v>
      </c>
      <c r="T534" s="4" t="str">
        <f t="shared" si="481"/>
        <v>1+142,405225781833i</v>
      </c>
      <c r="U534" s="4">
        <f t="shared" si="493"/>
        <v>142.408736845654</v>
      </c>
      <c r="V534" s="4">
        <f t="shared" si="494"/>
        <v>1.56377422800721</v>
      </c>
      <c r="W534" t="str">
        <f t="shared" si="482"/>
        <v>1-198,668004717959i</v>
      </c>
      <c r="X534" s="4">
        <f t="shared" si="495"/>
        <v>198.670521463591</v>
      </c>
      <c r="Y534" s="4">
        <f t="shared" si="496"/>
        <v>-1.56576284615922</v>
      </c>
      <c r="Z534" t="str">
        <f t="shared" si="483"/>
        <v>-16,0554786192168+53,0090256320341i</v>
      </c>
      <c r="AA534" s="4">
        <f t="shared" si="497"/>
        <v>55.3871392305992</v>
      </c>
      <c r="AB534" s="4">
        <f t="shared" si="498"/>
        <v>1.86489503750547</v>
      </c>
      <c r="AC534" s="67" t="str">
        <f t="shared" si="499"/>
        <v>-2,47034283374861+0,753361269322275i</v>
      </c>
      <c r="AD534" s="68">
        <f t="shared" si="500"/>
        <v>8.24135399903625</v>
      </c>
      <c r="AE534" s="31">
        <f t="shared" si="501"/>
        <v>163.040273807705</v>
      </c>
      <c r="AF534" s="32" t="str">
        <f t="shared" si="502"/>
        <v>326,048966736478</v>
      </c>
      <c r="AG534" s="32" t="str">
        <f t="shared" si="484"/>
        <v>1+7628,85138116965i</v>
      </c>
      <c r="AH534" s="32">
        <f t="shared" si="503"/>
        <v>7628.85144671032</v>
      </c>
      <c r="AI534" s="32">
        <f t="shared" si="504"/>
        <v>1.57066524546374</v>
      </c>
      <c r="AJ534" s="32" t="str">
        <f t="shared" si="485"/>
        <v>1+142,405225781833i</v>
      </c>
      <c r="AK534" s="32">
        <f t="shared" si="505"/>
        <v>142.408736845654</v>
      </c>
      <c r="AL534" s="32">
        <f t="shared" si="506"/>
        <v>1.56377422800721</v>
      </c>
      <c r="AM534" s="32" t="str">
        <f t="shared" si="486"/>
        <v>1-23,5018196227077i</v>
      </c>
      <c r="AN534" s="32">
        <f t="shared" si="507"/>
        <v>23.5230849502842</v>
      </c>
      <c r="AO534" s="32">
        <f t="shared" si="508"/>
        <v>-1.52827208089102</v>
      </c>
      <c r="AP534" s="30" t="str">
        <f t="shared" si="509"/>
        <v>5,10055980040494-143,079958426993i</v>
      </c>
      <c r="AQ534" s="32">
        <f t="shared" si="510"/>
        <v>43.1170916272989</v>
      </c>
      <c r="AR534" s="31">
        <f t="shared" si="511"/>
        <v>-87.9583663995413</v>
      </c>
      <c r="AS534" t="str">
        <f t="shared" si="487"/>
        <v>-0,000100699300699301</v>
      </c>
      <c r="AT534" t="str">
        <f t="shared" si="488"/>
        <v>2,04071774446288i</v>
      </c>
      <c r="AU534">
        <f t="shared" si="512"/>
        <v>2.04071774446288</v>
      </c>
      <c r="AV534">
        <f t="shared" si="513"/>
        <v>1.5707963267949</v>
      </c>
      <c r="AW534" t="str">
        <f t="shared" si="489"/>
        <v>1+104,481005469322i</v>
      </c>
      <c r="AX534">
        <f t="shared" si="514"/>
        <v>104.485790918577</v>
      </c>
      <c r="AY534">
        <f t="shared" si="515"/>
        <v>1.56122550134433</v>
      </c>
      <c r="AZ534" t="str">
        <f t="shared" si="490"/>
        <v>1+4995,08126148012i</v>
      </c>
      <c r="BA534">
        <f t="shared" si="516"/>
        <v>4995.08136157859</v>
      </c>
      <c r="BB534">
        <f t="shared" si="517"/>
        <v>1.57059612985429</v>
      </c>
      <c r="BC534" s="30" t="str">
        <f t="shared" si="518"/>
        <v>-0,0000221050352138866+0,00235890134604703i</v>
      </c>
      <c r="BD534" s="32">
        <f t="shared" si="519"/>
        <v>-52.545423082071</v>
      </c>
      <c r="BE534" s="31">
        <f t="shared" si="520"/>
        <v>90.5368974650058</v>
      </c>
      <c r="BF534" s="30" t="str">
        <f t="shared" si="521"/>
        <v>-0,00172249789693363-0,00584394811311438i</v>
      </c>
      <c r="BG534" s="68">
        <f t="shared" si="522"/>
        <v>-44.3040690830347</v>
      </c>
      <c r="BH534" s="31">
        <f t="shared" si="523"/>
        <v>-106.422828727289</v>
      </c>
      <c r="BI534" s="30" t="str">
        <f t="shared" si="476"/>
        <v>0,337398758471788+0,0151945048981987i</v>
      </c>
      <c r="BJ534" s="68">
        <f t="shared" si="524"/>
        <v>-9.42833145477209</v>
      </c>
      <c r="BK534" s="31">
        <f t="shared" si="477"/>
        <v>2.57853106546446</v>
      </c>
      <c r="BL534" s="32">
        <f t="shared" si="525"/>
        <v>-44.3040690830347</v>
      </c>
      <c r="BM534" s="31">
        <f t="shared" si="526"/>
        <v>-106.422828727289</v>
      </c>
      <c r="BO534">
        <f t="shared" si="527"/>
        <v>0</v>
      </c>
      <c r="BP534">
        <f t="shared" si="528"/>
        <v>0</v>
      </c>
    </row>
    <row r="535" spans="14:68">
      <c r="N535" s="7">
        <v>17</v>
      </c>
      <c r="O535" s="18">
        <f t="shared" si="478"/>
        <v>1479108.38816821</v>
      </c>
      <c r="P535" s="86" t="str">
        <f t="shared" si="479"/>
        <v>60</v>
      </c>
      <c r="Q535" s="4" t="str">
        <f t="shared" si="480"/>
        <v>1+12143,5224672257i</v>
      </c>
      <c r="R535" s="4">
        <f t="shared" si="491"/>
        <v>12143.5225083999</v>
      </c>
      <c r="S535" s="4">
        <f t="shared" si="492"/>
        <v>1.57071397836589</v>
      </c>
      <c r="T535" s="4" t="str">
        <f t="shared" si="481"/>
        <v>1+145,722269606709i</v>
      </c>
      <c r="U535" s="4">
        <f t="shared" si="493"/>
        <v>145.725700750864</v>
      </c>
      <c r="V535" s="4">
        <f t="shared" si="494"/>
        <v>1.5639340654139</v>
      </c>
      <c r="W535" t="str">
        <f t="shared" si="482"/>
        <v>1-203,295577018288i</v>
      </c>
      <c r="X535" s="4">
        <f t="shared" si="495"/>
        <v>203.298036476496</v>
      </c>
      <c r="Y535" s="4">
        <f t="shared" si="496"/>
        <v>-1.56587742029708</v>
      </c>
      <c r="Z535" t="str">
        <f t="shared" si="483"/>
        <v>-16,8592785628537+54,2437644568913i</v>
      </c>
      <c r="AA535" s="4">
        <f t="shared" si="497"/>
        <v>56.8033560286239</v>
      </c>
      <c r="AB535" s="4">
        <f t="shared" si="498"/>
        <v>1.87213701398622</v>
      </c>
      <c r="AC535" s="67" t="str">
        <f t="shared" si="499"/>
        <v>-2,45938041170001+0,769411750388513i</v>
      </c>
      <c r="AD535" s="68">
        <f t="shared" si="500"/>
        <v>8.2220381896561</v>
      </c>
      <c r="AE535" s="31">
        <f t="shared" si="501"/>
        <v>162.627822612894</v>
      </c>
      <c r="AF535" s="32" t="str">
        <f t="shared" si="502"/>
        <v>326,048966736478</v>
      </c>
      <c r="AG535" s="32" t="str">
        <f t="shared" si="484"/>
        <v>1+7806,55015750225i</v>
      </c>
      <c r="AH535" s="32">
        <f t="shared" si="503"/>
        <v>7806.55022155103</v>
      </c>
      <c r="AI535" s="32">
        <f t="shared" si="504"/>
        <v>1.57066822923908</v>
      </c>
      <c r="AJ535" s="32" t="str">
        <f t="shared" si="485"/>
        <v>1+145,722269606709i</v>
      </c>
      <c r="AK535" s="32">
        <f t="shared" si="505"/>
        <v>145.725700750864</v>
      </c>
      <c r="AL535" s="32">
        <f t="shared" si="506"/>
        <v>1.5639340654139</v>
      </c>
      <c r="AM535" s="32" t="str">
        <f t="shared" si="486"/>
        <v>1-24,0492473257631i</v>
      </c>
      <c r="AN535" s="32">
        <f t="shared" si="507"/>
        <v>24.0700290181737</v>
      </c>
      <c r="AO535" s="32">
        <f t="shared" si="508"/>
        <v>-1.52923892387113</v>
      </c>
      <c r="AP535" s="30" t="str">
        <f t="shared" si="509"/>
        <v>5,10055955220543-146,410781212023i</v>
      </c>
      <c r="AQ535" s="32">
        <f t="shared" si="510"/>
        <v>43.3167287300121</v>
      </c>
      <c r="AR535" s="31">
        <f t="shared" si="511"/>
        <v>-88.0047753706762</v>
      </c>
      <c r="AS535" t="str">
        <f t="shared" si="487"/>
        <v>-0,000100699300699301</v>
      </c>
      <c r="AT535" t="str">
        <f t="shared" si="488"/>
        <v>2,08825216713185i</v>
      </c>
      <c r="AU535">
        <f t="shared" si="512"/>
        <v>2.08825216713185</v>
      </c>
      <c r="AV535">
        <f t="shared" si="513"/>
        <v>1.5707963267949</v>
      </c>
      <c r="AW535" t="str">
        <f t="shared" si="489"/>
        <v>1+106,914680723204i</v>
      </c>
      <c r="AX535">
        <f t="shared" si="514"/>
        <v>106.919357247154</v>
      </c>
      <c r="AY535">
        <f t="shared" si="515"/>
        <v>1.56144334707634</v>
      </c>
      <c r="AZ535" t="str">
        <f t="shared" si="490"/>
        <v>1+5111,43165074551i</v>
      </c>
      <c r="BA535">
        <f t="shared" si="516"/>
        <v>5111.43174856546</v>
      </c>
      <c r="BB535">
        <f t="shared" si="517"/>
        <v>1.57060068689289</v>
      </c>
      <c r="BC535" s="30" t="str">
        <f t="shared" si="518"/>
        <v>-0,0000211102317717238+0,00230521550056766i</v>
      </c>
      <c r="BD535" s="32">
        <f t="shared" si="519"/>
        <v>-52.74540518571</v>
      </c>
      <c r="BE535" s="31">
        <f t="shared" si="520"/>
        <v>90.5246769230557</v>
      </c>
      <c r="BF535" s="30" t="str">
        <f t="shared" si="521"/>
        <v>-0,00172174180280867-0,00568564430722193i</v>
      </c>
      <c r="BG535" s="68">
        <f t="shared" si="522"/>
        <v>-44.5233669960539</v>
      </c>
      <c r="BH535" s="31">
        <f t="shared" si="523"/>
        <v>-106.84750046405</v>
      </c>
      <c r="BI535" s="30" t="str">
        <f t="shared" si="476"/>
        <v>0,337400728305863+0,0148486544665774i</v>
      </c>
      <c r="BJ535" s="68">
        <f t="shared" si="524"/>
        <v>-9.42867645569796</v>
      </c>
      <c r="BK535" s="31">
        <f t="shared" si="477"/>
        <v>2.51990155237949</v>
      </c>
      <c r="BL535" s="32">
        <f t="shared" si="525"/>
        <v>-44.5233669960539</v>
      </c>
      <c r="BM535" s="31">
        <f t="shared" si="526"/>
        <v>-106.84750046405</v>
      </c>
      <c r="BO535">
        <f t="shared" si="527"/>
        <v>0</v>
      </c>
      <c r="BP535">
        <f t="shared" si="528"/>
        <v>0</v>
      </c>
    </row>
    <row r="536" spans="14:68">
      <c r="N536" s="7">
        <v>18</v>
      </c>
      <c r="O536" s="18">
        <f t="shared" si="478"/>
        <v>1513561.24843621</v>
      </c>
      <c r="P536" s="86" t="str">
        <f t="shared" si="479"/>
        <v>60</v>
      </c>
      <c r="Q536" s="4" t="str">
        <f t="shared" si="480"/>
        <v>1+12426,381442316i</v>
      </c>
      <c r="R536" s="4">
        <f t="shared" si="491"/>
        <v>12426.381482553</v>
      </c>
      <c r="S536" s="4">
        <f t="shared" si="492"/>
        <v>1.57071585284498</v>
      </c>
      <c r="T536" s="4" t="str">
        <f t="shared" si="481"/>
        <v>1+149,116577307792i</v>
      </c>
      <c r="U536" s="4">
        <f t="shared" si="493"/>
        <v>149.119930351347</v>
      </c>
      <c r="V536" s="4">
        <f t="shared" si="494"/>
        <v>1.56409026481583</v>
      </c>
      <c r="W536" t="str">
        <f t="shared" si="482"/>
        <v>1-208,030939324486i</v>
      </c>
      <c r="X536" s="4">
        <f t="shared" si="495"/>
        <v>208.033342799245</v>
      </c>
      <c r="Y536" s="4">
        <f t="shared" si="496"/>
        <v>-1.56598938653394</v>
      </c>
      <c r="Z536" t="str">
        <f t="shared" si="483"/>
        <v>-17,7009604307575+55,5072640436647i</v>
      </c>
      <c r="AA536" s="4">
        <f t="shared" si="497"/>
        <v>58.2613110201303</v>
      </c>
      <c r="AB536" s="4">
        <f t="shared" si="498"/>
        <v>1.87949612492071</v>
      </c>
      <c r="AC536" s="67" t="str">
        <f t="shared" si="499"/>
        <v>-2,44800251608302+0,785562155634931i</v>
      </c>
      <c r="AD536" s="68">
        <f t="shared" si="500"/>
        <v>8.20189910063002</v>
      </c>
      <c r="AE536" s="31">
        <f t="shared" si="501"/>
        <v>162.208603589312</v>
      </c>
      <c r="AF536" s="32" t="str">
        <f t="shared" si="502"/>
        <v>326,048966736478</v>
      </c>
      <c r="AG536" s="32" t="str">
        <f t="shared" si="484"/>
        <v>1+7988,38807006027i</v>
      </c>
      <c r="AH536" s="32">
        <f t="shared" si="503"/>
        <v>7988.38813265112</v>
      </c>
      <c r="AI536" s="32">
        <f t="shared" si="504"/>
        <v>1.57067114509541</v>
      </c>
      <c r="AJ536" s="32" t="str">
        <f t="shared" si="485"/>
        <v>1+149,116577307792i</v>
      </c>
      <c r="AK536" s="32">
        <f t="shared" si="505"/>
        <v>149.119930351347</v>
      </c>
      <c r="AL536" s="32">
        <f t="shared" si="506"/>
        <v>1.56409026481583</v>
      </c>
      <c r="AM536" s="32" t="str">
        <f t="shared" si="486"/>
        <v>1-24,60942625808i</v>
      </c>
      <c r="AN536" s="32">
        <f t="shared" si="507"/>
        <v>24.6297352960172</v>
      </c>
      <c r="AO536" s="32">
        <f t="shared" si="508"/>
        <v>-1.53018383394237</v>
      </c>
      <c r="AP536" s="30" t="str">
        <f t="shared" si="509"/>
        <v>5,10055931517671-149,819232931223i</v>
      </c>
      <c r="AQ536" s="32">
        <f t="shared" si="510"/>
        <v>43.5163821389474</v>
      </c>
      <c r="AR536" s="31">
        <f t="shared" si="511"/>
        <v>-88.0501322295457</v>
      </c>
      <c r="AS536" t="str">
        <f t="shared" si="487"/>
        <v>-0,000100699300699301</v>
      </c>
      <c r="AT536" t="str">
        <f t="shared" si="488"/>
        <v>2,13689380874112i</v>
      </c>
      <c r="AU536">
        <f t="shared" si="512"/>
        <v>2.13689380874112</v>
      </c>
      <c r="AV536">
        <f t="shared" si="513"/>
        <v>1.5707963267949</v>
      </c>
      <c r="AW536" t="str">
        <f t="shared" si="489"/>
        <v>1+109,405043555989i</v>
      </c>
      <c r="AX536">
        <f t="shared" si="514"/>
        <v>109.409613633756</v>
      </c>
      <c r="AY536">
        <f t="shared" si="515"/>
        <v>1.56165623489191</v>
      </c>
      <c r="AZ536" t="str">
        <f t="shared" si="490"/>
        <v>1+5230,49218872993i</v>
      </c>
      <c r="BA536">
        <f t="shared" si="516"/>
        <v>5230.49228432323</v>
      </c>
      <c r="BB536">
        <f t="shared" si="517"/>
        <v>1.57060514020065</v>
      </c>
      <c r="BC536" s="30" t="str">
        <f t="shared" si="518"/>
        <v>-0,0000201601942029656+0,00225275107315151i</v>
      </c>
      <c r="BD536" s="32">
        <f t="shared" si="519"/>
        <v>-52.9453880947491</v>
      </c>
      <c r="BE536" s="31">
        <f t="shared" si="520"/>
        <v>90.5127345054526</v>
      </c>
      <c r="BF536" s="30" t="str">
        <f t="shared" si="521"/>
        <v>-0,00172032378300022-0,00553057738079972i</v>
      </c>
      <c r="BG536" s="68">
        <f t="shared" si="522"/>
        <v>-44.7434889941191</v>
      </c>
      <c r="BH536" s="31">
        <f t="shared" si="523"/>
        <v>-107.278661905236</v>
      </c>
      <c r="BI536" s="30" t="str">
        <f t="shared" si="476"/>
        <v>0,337402609498211+0,0145106753021701i</v>
      </c>
      <c r="BJ536" s="68">
        <f t="shared" si="524"/>
        <v>-9.42900595580173</v>
      </c>
      <c r="BK536" s="31">
        <f t="shared" si="477"/>
        <v>2.4626022759069</v>
      </c>
      <c r="BL536" s="32">
        <f t="shared" si="525"/>
        <v>-44.7434889941191</v>
      </c>
      <c r="BM536" s="31">
        <f t="shared" si="526"/>
        <v>-107.278661905236</v>
      </c>
      <c r="BO536">
        <f t="shared" si="527"/>
        <v>0</v>
      </c>
      <c r="BP536">
        <f t="shared" si="528"/>
        <v>0</v>
      </c>
    </row>
    <row r="537" spans="14:68">
      <c r="N537" s="7">
        <v>19</v>
      </c>
      <c r="O537" s="18">
        <f t="shared" si="478"/>
        <v>1548816.61891249</v>
      </c>
      <c r="P537" s="86" t="str">
        <f t="shared" si="479"/>
        <v>60</v>
      </c>
      <c r="Q537" s="4" t="str">
        <f t="shared" si="480"/>
        <v>1+12715,8290493296i</v>
      </c>
      <c r="R537" s="4">
        <f t="shared" si="491"/>
        <v>12715.8290886507</v>
      </c>
      <c r="S537" s="4">
        <f t="shared" si="492"/>
        <v>1.57071768465571</v>
      </c>
      <c r="T537" s="4" t="str">
        <f t="shared" si="481"/>
        <v>1+152,589948591955i</v>
      </c>
      <c r="U537" s="4">
        <f t="shared" si="493"/>
        <v>152.593225312579</v>
      </c>
      <c r="V537" s="4">
        <f t="shared" si="494"/>
        <v>1.56424290900149</v>
      </c>
      <c r="W537" t="str">
        <f t="shared" si="482"/>
        <v>1-212,87660238833i</v>
      </c>
      <c r="X537" s="4">
        <f t="shared" si="495"/>
        <v>212.878951153934</v>
      </c>
      <c r="Y537" s="4">
        <f t="shared" si="496"/>
        <v>-1.56609880422456</v>
      </c>
      <c r="Z537" t="str">
        <f t="shared" si="483"/>
        <v>-18,5823095430166+56,8001943165598i</v>
      </c>
      <c r="AA537" s="4">
        <f t="shared" si="497"/>
        <v>59.7625660623056</v>
      </c>
      <c r="AB537" s="4">
        <f t="shared" si="498"/>
        <v>1.88697360009572</v>
      </c>
      <c r="AC537" s="67" t="str">
        <f t="shared" si="499"/>
        <v>-2,43619820187289+0,801803585090741i</v>
      </c>
      <c r="AD537" s="68">
        <f t="shared" si="500"/>
        <v>8.18090612115495</v>
      </c>
      <c r="AE537" s="31">
        <f t="shared" si="501"/>
        <v>161.782547561076</v>
      </c>
      <c r="AF537" s="32" t="str">
        <f t="shared" si="502"/>
        <v>326,048966736478</v>
      </c>
      <c r="AG537" s="32" t="str">
        <f t="shared" si="484"/>
        <v>1+8174,46153171188i</v>
      </c>
      <c r="AH537" s="32">
        <f t="shared" si="503"/>
        <v>8174.46159287799</v>
      </c>
      <c r="AI537" s="32">
        <f t="shared" si="504"/>
        <v>1.57067399457875</v>
      </c>
      <c r="AJ537" s="32" t="str">
        <f t="shared" si="485"/>
        <v>1+152,589948591955i</v>
      </c>
      <c r="AK537" s="32">
        <f t="shared" si="505"/>
        <v>152.593225312579</v>
      </c>
      <c r="AL537" s="32">
        <f t="shared" si="506"/>
        <v>1.56424290900149</v>
      </c>
      <c r="AM537" s="32" t="str">
        <f t="shared" si="486"/>
        <v>1-25,1826534339434i</v>
      </c>
      <c r="AN537" s="32">
        <f t="shared" si="507"/>
        <v>25.2025005500268</v>
      </c>
      <c r="AO537" s="32">
        <f t="shared" si="508"/>
        <v>-1.53110730535537</v>
      </c>
      <c r="AP537" s="30" t="str">
        <f t="shared" si="509"/>
        <v>5,10055908881603-153,307120790815i</v>
      </c>
      <c r="AQ537" s="32">
        <f t="shared" si="510"/>
        <v>43.7160511225625</v>
      </c>
      <c r="AR537" s="31">
        <f t="shared" si="511"/>
        <v>-88.0944606397754</v>
      </c>
      <c r="AS537" t="str">
        <f t="shared" si="487"/>
        <v>-0,000100699300699301</v>
      </c>
      <c r="AT537" t="str">
        <f t="shared" si="488"/>
        <v>2,18666845973293i</v>
      </c>
      <c r="AU537">
        <f t="shared" si="512"/>
        <v>2.18666845973293</v>
      </c>
      <c r="AV537">
        <f t="shared" si="513"/>
        <v>1.5707963267949</v>
      </c>
      <c r="AW537" t="str">
        <f t="shared" si="489"/>
        <v>1+111,953414391015i</v>
      </c>
      <c r="AX537">
        <f t="shared" si="514"/>
        <v>111.95788044531</v>
      </c>
      <c r="AY537">
        <f t="shared" si="515"/>
        <v>1.56186427758975</v>
      </c>
      <c r="AZ537" t="str">
        <f t="shared" si="490"/>
        <v>1+5352,32600290658i</v>
      </c>
      <c r="BA537">
        <f t="shared" si="516"/>
        <v>5352.32609632391</v>
      </c>
      <c r="BB537">
        <f t="shared" si="517"/>
        <v>1.57060949213875</v>
      </c>
      <c r="BC537" s="30" t="str">
        <f t="shared" si="518"/>
        <v>-0,0000192529083850605+0,00220148030236887i</v>
      </c>
      <c r="BD537" s="32">
        <f t="shared" si="519"/>
        <v>-53.1453717729454</v>
      </c>
      <c r="BE537" s="31">
        <f t="shared" si="520"/>
        <v>90.5010638845936</v>
      </c>
      <c r="BF537" s="30" t="str">
        <f t="shared" si="521"/>
        <v>-0,0017182508981575-0,00537867940505619i</v>
      </c>
      <c r="BG537" s="68">
        <f t="shared" si="522"/>
        <v>-44.9644656517904</v>
      </c>
      <c r="BH537" s="31">
        <f t="shared" si="523"/>
        <v>-107.716388554331</v>
      </c>
      <c r="BI537" s="30" t="str">
        <f t="shared" si="476"/>
        <v>0,337404406037015+0,01418038831646i</v>
      </c>
      <c r="BJ537" s="68">
        <f t="shared" si="524"/>
        <v>-9.42932065038289</v>
      </c>
      <c r="BK537" s="31">
        <f t="shared" si="477"/>
        <v>2.40660324481821</v>
      </c>
      <c r="BL537" s="32">
        <f t="shared" si="525"/>
        <v>-44.9644656517904</v>
      </c>
      <c r="BM537" s="31">
        <f t="shared" si="526"/>
        <v>-107.716388554331</v>
      </c>
      <c r="BO537">
        <f t="shared" si="527"/>
        <v>0</v>
      </c>
      <c r="BP537">
        <f t="shared" si="528"/>
        <v>0</v>
      </c>
    </row>
    <row r="538" spans="14:68">
      <c r="N538" s="7">
        <v>20</v>
      </c>
      <c r="O538" s="18">
        <f t="shared" si="478"/>
        <v>1584893.19246112</v>
      </c>
      <c r="P538" s="86" t="str">
        <f t="shared" si="479"/>
        <v>60</v>
      </c>
      <c r="Q538" s="4" t="str">
        <f t="shared" si="480"/>
        <v>1+13012,018757219i</v>
      </c>
      <c r="R538" s="4">
        <f t="shared" si="491"/>
        <v>13012.018795645</v>
      </c>
      <c r="S538" s="4">
        <f t="shared" si="492"/>
        <v>1.57071947476934</v>
      </c>
      <c r="T538" s="4" t="str">
        <f t="shared" si="481"/>
        <v>1+156,144225086628i</v>
      </c>
      <c r="U538" s="4">
        <f t="shared" si="493"/>
        <v>156.147427221532</v>
      </c>
      <c r="V538" s="4">
        <f t="shared" si="494"/>
        <v>1.56439207887638</v>
      </c>
      <c r="W538" t="str">
        <f t="shared" si="482"/>
        <v>1-217,835135444514i</v>
      </c>
      <c r="X538" s="4">
        <f t="shared" si="495"/>
        <v>217.837430746256</v>
      </c>
      <c r="Y538" s="4">
        <f t="shared" si="496"/>
        <v>-1.56620573137315</v>
      </c>
      <c r="Z538" t="str">
        <f t="shared" si="483"/>
        <v>-19,5051953592622+58,1232408043207i</v>
      </c>
      <c r="AA538" s="4">
        <f t="shared" si="497"/>
        <v>61.3087576745773</v>
      </c>
      <c r="AB538" s="4">
        <f t="shared" si="498"/>
        <v>1.89457058153594</v>
      </c>
      <c r="AC538" s="67" t="str">
        <f t="shared" si="499"/>
        <v>-2,42395661979454+0,818126400244309i</v>
      </c>
      <c r="AD538" s="68">
        <f t="shared" si="500"/>
        <v>8.1590278316844</v>
      </c>
      <c r="AE538" s="31">
        <f t="shared" si="501"/>
        <v>161.349590351488</v>
      </c>
      <c r="AF538" s="32" t="str">
        <f t="shared" si="502"/>
        <v>326,048966736478</v>
      </c>
      <c r="AG538" s="32" t="str">
        <f t="shared" si="484"/>
        <v>1+8364,86920106936i</v>
      </c>
      <c r="AH538" s="32">
        <f t="shared" si="503"/>
        <v>8364.86926084316</v>
      </c>
      <c r="AI538" s="32">
        <f t="shared" si="504"/>
        <v>1.57067677919993</v>
      </c>
      <c r="AJ538" s="32" t="str">
        <f t="shared" si="485"/>
        <v>1+156,144225086628i</v>
      </c>
      <c r="AK538" s="32">
        <f t="shared" si="505"/>
        <v>156.147427221532</v>
      </c>
      <c r="AL538" s="32">
        <f t="shared" si="506"/>
        <v>1.56439207887638</v>
      </c>
      <c r="AM538" s="32" t="str">
        <f t="shared" si="486"/>
        <v>1-25,7692327859891i</v>
      </c>
      <c r="AN538" s="32">
        <f t="shared" si="507"/>
        <v>25.788628470287</v>
      </c>
      <c r="AO538" s="32">
        <f t="shared" si="508"/>
        <v>-1.53200982144304</v>
      </c>
      <c r="AP538" s="30" t="str">
        <f t="shared" si="509"/>
        <v>5,10055887264326-156,876294115105i</v>
      </c>
      <c r="AQ538" s="32">
        <f t="shared" si="510"/>
        <v>43.9157349820324</v>
      </c>
      <c r="AR538" s="31">
        <f t="shared" si="511"/>
        <v>-88.1377837453204</v>
      </c>
      <c r="AS538" t="str">
        <f t="shared" si="487"/>
        <v>-0,000100699300699301</v>
      </c>
      <c r="AT538" t="str">
        <f t="shared" si="488"/>
        <v>2,23760251128605i</v>
      </c>
      <c r="AU538">
        <f t="shared" si="512"/>
        <v>2.23760251128605</v>
      </c>
      <c r="AV538">
        <f t="shared" si="513"/>
        <v>1.5707963267949</v>
      </c>
      <c r="AW538" t="str">
        <f t="shared" si="489"/>
        <v>1+114,561144408228i</v>
      </c>
      <c r="AX538">
        <f t="shared" si="514"/>
        <v>114.565508806634</v>
      </c>
      <c r="AY538">
        <f t="shared" si="515"/>
        <v>1.56206758540478</v>
      </c>
      <c r="AZ538" t="str">
        <f t="shared" si="490"/>
        <v>1+5476,99769117636i</v>
      </c>
      <c r="BA538">
        <f t="shared" si="516"/>
        <v>5476.99778246725</v>
      </c>
      <c r="BB538">
        <f t="shared" si="517"/>
        <v>1.57061374501465</v>
      </c>
      <c r="BC538" s="30" t="str">
        <f t="shared" si="518"/>
        <v>-0,0000183864507866434+0,00215137605595232i</v>
      </c>
      <c r="BD538" s="32">
        <f t="shared" si="519"/>
        <v>-53.3453561856864</v>
      </c>
      <c r="BE538" s="31">
        <f t="shared" si="520"/>
        <v>90.4896588766906</v>
      </c>
      <c r="BF538" s="30" t="str">
        <f t="shared" si="521"/>
        <v>-0,00171552958912926-0,00522988467328844i</v>
      </c>
      <c r="BG538" s="68">
        <f t="shared" si="522"/>
        <v>-45.186328354002</v>
      </c>
      <c r="BH538" s="31">
        <f t="shared" si="523"/>
        <v>-108.160750771821</v>
      </c>
      <c r="BI538" s="30" t="str">
        <f t="shared" si="476"/>
        <v>0,337406121731075+0,0138576184919182i</v>
      </c>
      <c r="BJ538" s="68">
        <f t="shared" si="524"/>
        <v>-9.42962120365392</v>
      </c>
      <c r="BK538" s="31">
        <f t="shared" si="477"/>
        <v>2.35187513137019</v>
      </c>
      <c r="BL538" s="32">
        <f t="shared" si="525"/>
        <v>-45.186328354002</v>
      </c>
      <c r="BM538" s="31">
        <f t="shared" si="526"/>
        <v>-108.160750771821</v>
      </c>
      <c r="BO538">
        <f t="shared" si="527"/>
        <v>0</v>
      </c>
      <c r="BP538">
        <f t="shared" si="528"/>
        <v>0</v>
      </c>
    </row>
    <row r="539" spans="14:68">
      <c r="N539" s="7">
        <v>21</v>
      </c>
      <c r="O539" s="18">
        <f t="shared" si="478"/>
        <v>1621810.09735893</v>
      </c>
      <c r="P539" s="86" t="str">
        <f t="shared" si="479"/>
        <v>60</v>
      </c>
      <c r="Q539" s="4" t="str">
        <f t="shared" si="480"/>
        <v>1+13315,1076096878i</v>
      </c>
      <c r="R539" s="4">
        <f t="shared" si="491"/>
        <v>13315.1076472391</v>
      </c>
      <c r="S539" s="4">
        <f t="shared" si="492"/>
        <v>1.57072122413501</v>
      </c>
      <c r="T539" s="4" t="str">
        <f t="shared" si="481"/>
        <v>1+159,781291316254i</v>
      </c>
      <c r="U539" s="4">
        <f t="shared" si="493"/>
        <v>159.784420563113</v>
      </c>
      <c r="V539" s="4">
        <f t="shared" si="494"/>
        <v>1.56453785350578</v>
      </c>
      <c r="W539" t="str">
        <f t="shared" si="482"/>
        <v>1-222,909167572899i</v>
      </c>
      <c r="X539" s="4">
        <f t="shared" si="495"/>
        <v>222.911410627726</v>
      </c>
      <c r="Y539" s="4">
        <f t="shared" si="496"/>
        <v>-1.56631022466411</v>
      </c>
      <c r="Z539" t="str">
        <f t="shared" si="483"/>
        <v>-20,4715754440439+59,4771050037078i</v>
      </c>
      <c r="AA539" s="4">
        <f t="shared" si="497"/>
        <v>62.9016010987261</v>
      </c>
      <c r="AB539" s="4">
        <f t="shared" si="498"/>
        <v>1.90228811740763</v>
      </c>
      <c r="AC539" s="67" t="str">
        <f t="shared" si="499"/>
        <v>-2,41126705696876+0,834520204769618i</v>
      </c>
      <c r="AD539" s="68">
        <f t="shared" si="500"/>
        <v>8.13623201287277</v>
      </c>
      <c r="AE539" s="31">
        <f t="shared" si="501"/>
        <v>160.909673132995</v>
      </c>
      <c r="AF539" s="32" t="str">
        <f t="shared" si="502"/>
        <v>326,048966736478</v>
      </c>
      <c r="AG539" s="32" t="str">
        <f t="shared" si="484"/>
        <v>1+8559,71203479933i</v>
      </c>
      <c r="AH539" s="32">
        <f t="shared" si="503"/>
        <v>8559.71209321251</v>
      </c>
      <c r="AI539" s="32">
        <f t="shared" si="504"/>
        <v>1.57067950043539</v>
      </c>
      <c r="AJ539" s="32" t="str">
        <f t="shared" si="485"/>
        <v>1+159,781291316254i</v>
      </c>
      <c r="AK539" s="32">
        <f t="shared" si="505"/>
        <v>159.784420563113</v>
      </c>
      <c r="AL539" s="32">
        <f t="shared" si="506"/>
        <v>1.56453785350578</v>
      </c>
      <c r="AM539" s="32" t="str">
        <f t="shared" si="486"/>
        <v>1-26,3694753263539i</v>
      </c>
      <c r="AN539" s="32">
        <f t="shared" si="507"/>
        <v>26.3884298317878</v>
      </c>
      <c r="AO539" s="32">
        <f t="shared" si="508"/>
        <v>-1.53289185484693</v>
      </c>
      <c r="AP539" s="30" t="str">
        <f t="shared" si="509"/>
        <v>5,10055866619988-160,528645327035i</v>
      </c>
      <c r="AQ539" s="32">
        <f t="shared" si="510"/>
        <v>44.1154330497961</v>
      </c>
      <c r="AR539" s="31">
        <f t="shared" si="511"/>
        <v>-88.1801241810357</v>
      </c>
      <c r="AS539" t="str">
        <f t="shared" si="487"/>
        <v>-0,000100699300699301</v>
      </c>
      <c r="AT539" t="str">
        <f t="shared" si="488"/>
        <v>2,28972296930882i</v>
      </c>
      <c r="AU539">
        <f t="shared" si="512"/>
        <v>2.28972296930882</v>
      </c>
      <c r="AV539">
        <f t="shared" si="513"/>
        <v>1.5707963267949</v>
      </c>
      <c r="AW539" t="str">
        <f t="shared" si="489"/>
        <v>1+117,229616260603i</v>
      </c>
      <c r="AX539">
        <f t="shared" si="514"/>
        <v>117.233881316829</v>
      </c>
      <c r="AY539">
        <f t="shared" si="515"/>
        <v>1.56226626606621</v>
      </c>
      <c r="AZ539" t="str">
        <f t="shared" si="490"/>
        <v>1+5604,5733561186i</v>
      </c>
      <c r="BA539">
        <f t="shared" si="516"/>
        <v>5604.57344533146</v>
      </c>
      <c r="BB539">
        <f t="shared" si="517"/>
        <v>1.57061790108328</v>
      </c>
      <c r="BC539" s="30" t="str">
        <f t="shared" si="518"/>
        <v>-0,0000175589843954699+0,00210241181665949i</v>
      </c>
      <c r="BD539" s="32">
        <f t="shared" si="519"/>
        <v>-53.5453412999174</v>
      </c>
      <c r="BE539" s="31">
        <f t="shared" si="520"/>
        <v>90.4785134385117</v>
      </c>
      <c r="BF539" s="30" t="str">
        <f t="shared" si="521"/>
        <v>-0,00171216573912212-0,00508412968094613i</v>
      </c>
      <c r="BG539" s="68">
        <f t="shared" si="522"/>
        <v>-45.4091092870446</v>
      </c>
      <c r="BH539" s="31">
        <f t="shared" si="523"/>
        <v>-108.611813428494</v>
      </c>
      <c r="BI539" s="30" t="str">
        <f t="shared" si="476"/>
        <v>0,337407760217871+0,0135421947897069i</v>
      </c>
      <c r="BJ539" s="68">
        <f t="shared" si="524"/>
        <v>-9.4299082501213</v>
      </c>
      <c r="BK539" s="31">
        <f t="shared" si="477"/>
        <v>2.29838925747597</v>
      </c>
      <c r="BL539" s="32">
        <f t="shared" si="525"/>
        <v>-45.4091092870446</v>
      </c>
      <c r="BM539" s="31">
        <f t="shared" si="526"/>
        <v>-108.611813428494</v>
      </c>
      <c r="BO539">
        <f t="shared" si="527"/>
        <v>0</v>
      </c>
      <c r="BP539">
        <f t="shared" si="528"/>
        <v>0</v>
      </c>
    </row>
    <row r="540" spans="14:68">
      <c r="N540" s="7">
        <v>22</v>
      </c>
      <c r="O540" s="18">
        <f t="shared" si="478"/>
        <v>1659586.90743756</v>
      </c>
      <c r="P540" s="86" t="str">
        <f t="shared" si="479"/>
        <v>60</v>
      </c>
      <c r="Q540" s="4" t="str">
        <f t="shared" si="480"/>
        <v>1+13625,2563084577i</v>
      </c>
      <c r="R540" s="4">
        <f t="shared" si="491"/>
        <v>13625.2563451543</v>
      </c>
      <c r="S540" s="4">
        <f t="shared" si="492"/>
        <v>1.57072293368026</v>
      </c>
      <c r="T540" s="4" t="str">
        <f t="shared" si="481"/>
        <v>1+163,503075701493i</v>
      </c>
      <c r="U540" s="4">
        <f t="shared" si="493"/>
        <v>163.506133719344</v>
      </c>
      <c r="V540" s="4">
        <f t="shared" si="494"/>
        <v>1.56468031015652</v>
      </c>
      <c r="W540" t="str">
        <f t="shared" si="482"/>
        <v>1-228,101389092485i</v>
      </c>
      <c r="X540" s="4">
        <f t="shared" si="495"/>
        <v>228.103581089647</v>
      </c>
      <c r="Y540" s="4">
        <f t="shared" si="496"/>
        <v>-1.56641233949205</v>
      </c>
      <c r="Z540" t="str">
        <f t="shared" si="483"/>
        <v>-21,4834996190872+60,8625047514409i</v>
      </c>
      <c r="AA540" s="4">
        <f t="shared" si="497"/>
        <v>64.5428945779664</v>
      </c>
      <c r="AB540" s="4">
        <f t="shared" si="498"/>
        <v>1.91012715576222</v>
      </c>
      <c r="AC540" s="67" t="str">
        <f t="shared" si="499"/>
        <v>-2,39811898037575+0,850973827031453i</v>
      </c>
      <c r="AD540" s="68">
        <f t="shared" si="500"/>
        <v>8.11248565757978</v>
      </c>
      <c r="AE540" s="31">
        <f t="shared" si="501"/>
        <v>160.462742786293</v>
      </c>
      <c r="AF540" s="32" t="str">
        <f t="shared" si="502"/>
        <v>326,048966736478</v>
      </c>
      <c r="AG540" s="32" t="str">
        <f t="shared" si="484"/>
        <v>1+8759,09334115142i</v>
      </c>
      <c r="AH540" s="32">
        <f t="shared" si="503"/>
        <v>8759.09339823495</v>
      </c>
      <c r="AI540" s="32">
        <f t="shared" si="504"/>
        <v>1.57068215972797</v>
      </c>
      <c r="AJ540" s="32" t="str">
        <f t="shared" si="485"/>
        <v>1+163,503075701493i</v>
      </c>
      <c r="AK540" s="32">
        <f t="shared" si="505"/>
        <v>163.506133719344</v>
      </c>
      <c r="AL540" s="32">
        <f t="shared" si="506"/>
        <v>1.56468031015652</v>
      </c>
      <c r="AM540" s="32" t="str">
        <f t="shared" si="486"/>
        <v>1-26,9836993115783i</v>
      </c>
      <c r="AN540" s="32">
        <f t="shared" si="507"/>
        <v>27.0022226592122</v>
      </c>
      <c r="AO540" s="32">
        <f t="shared" si="508"/>
        <v>-1.53375386774005</v>
      </c>
      <c r="AP540" s="30" t="str">
        <f t="shared" si="509"/>
        <v>5,10055846904797-164,266110951566i</v>
      </c>
      <c r="AQ540" s="32">
        <f t="shared" si="510"/>
        <v>44.3151446881651</v>
      </c>
      <c r="AR540" s="31">
        <f t="shared" si="511"/>
        <v>-88.2215040830879</v>
      </c>
      <c r="AS540" t="str">
        <f t="shared" si="487"/>
        <v>-0,000100699300699301</v>
      </c>
      <c r="AT540" t="str">
        <f t="shared" si="488"/>
        <v>2,343057468758i</v>
      </c>
      <c r="AU540">
        <f t="shared" si="512"/>
        <v>2.343057468758</v>
      </c>
      <c r="AV540">
        <f t="shared" si="513"/>
        <v>1.5707963267949</v>
      </c>
      <c r="AW540" t="str">
        <f t="shared" si="489"/>
        <v>1+119,960244807237i</v>
      </c>
      <c r="AX540">
        <f t="shared" si="514"/>
        <v>119.964412782342</v>
      </c>
      <c r="AY540">
        <f t="shared" si="515"/>
        <v>1.56246042485439</v>
      </c>
      <c r="AZ540" t="str">
        <f t="shared" si="490"/>
        <v>1+5735,12064003961i</v>
      </c>
      <c r="BA540">
        <f t="shared" si="516"/>
        <v>5735.12072722173</v>
      </c>
      <c r="BB540">
        <f t="shared" si="517"/>
        <v>1.57062196254824</v>
      </c>
      <c r="BC540" s="30" t="str">
        <f t="shared" si="518"/>
        <v>-0,0000167687548291718+0,00205456166844573i</v>
      </c>
      <c r="BD540" s="32">
        <f t="shared" si="519"/>
        <v>-53.7453270840707</v>
      </c>
      <c r="BE540" s="31">
        <f t="shared" si="520"/>
        <v>90.4676216641947</v>
      </c>
      <c r="BF540" s="30" t="str">
        <f t="shared" si="521"/>
        <v>-0,00170816473663629-0,00494135310492371i</v>
      </c>
      <c r="BG540" s="68">
        <f t="shared" si="522"/>
        <v>-45.6328414264909</v>
      </c>
      <c r="BH540" s="31">
        <f t="shared" si="523"/>
        <v>-109.069635549513</v>
      </c>
      <c r="BI540" s="30" t="str">
        <f t="shared" si="476"/>
        <v>0,337409324971282+0,0132339500594605i</v>
      </c>
      <c r="BJ540" s="68">
        <f t="shared" si="524"/>
        <v>-9.43018239590553</v>
      </c>
      <c r="BK540" s="31">
        <f t="shared" si="477"/>
        <v>2.2461175811069</v>
      </c>
      <c r="BL540" s="32">
        <f t="shared" si="525"/>
        <v>-45.6328414264909</v>
      </c>
      <c r="BM540" s="31">
        <f t="shared" si="526"/>
        <v>-109.069635549513</v>
      </c>
      <c r="BO540">
        <f t="shared" si="527"/>
        <v>0</v>
      </c>
      <c r="BP540">
        <f t="shared" si="528"/>
        <v>0</v>
      </c>
    </row>
    <row r="541" spans="14:68">
      <c r="N541" s="7">
        <v>23</v>
      </c>
      <c r="O541" s="18">
        <f t="shared" si="478"/>
        <v>1698243.65246175</v>
      </c>
      <c r="P541" s="86" t="str">
        <f t="shared" si="479"/>
        <v>60</v>
      </c>
      <c r="Q541" s="4" t="str">
        <f t="shared" si="480"/>
        <v>1+13942,629298474i</v>
      </c>
      <c r="R541" s="4">
        <f t="shared" si="491"/>
        <v>13942.6293343352</v>
      </c>
      <c r="S541" s="4">
        <f t="shared" si="492"/>
        <v>1.57072460431151</v>
      </c>
      <c r="T541" s="4" t="str">
        <f t="shared" si="481"/>
        <v>1+167,311551581689i</v>
      </c>
      <c r="U541" s="4">
        <f t="shared" si="493"/>
        <v>167.314539991814</v>
      </c>
      <c r="V541" s="4">
        <f t="shared" si="494"/>
        <v>1.56481952433787</v>
      </c>
      <c r="W541" t="str">
        <f t="shared" si="482"/>
        <v>1-233,414552987847i</v>
      </c>
      <c r="X541" s="4">
        <f t="shared" si="495"/>
        <v>233.416695089525</v>
      </c>
      <c r="Y541" s="4">
        <f t="shared" si="496"/>
        <v>-1.56651212999106</v>
      </c>
      <c r="Z541" t="str">
        <f t="shared" si="483"/>
        <v>-22,543114311238+62,280174604804i</v>
      </c>
      <c r="AA541" s="4">
        <f t="shared" si="497"/>
        <v>66.2345238652352</v>
      </c>
      <c r="AB541" s="4">
        <f t="shared" si="498"/>
        <v>1.91808853813642</v>
      </c>
      <c r="AC541" s="67" t="str">
        <f t="shared" si="499"/>
        <v>-2,38450208313306+0,86747530466178i</v>
      </c>
      <c r="AD541" s="68">
        <f t="shared" si="500"/>
        <v>8.08775498614233</v>
      </c>
      <c r="AE541" s="31">
        <f t="shared" si="501"/>
        <v>160.008752267652</v>
      </c>
      <c r="AF541" s="32" t="str">
        <f t="shared" si="502"/>
        <v>326,048966736478</v>
      </c>
      <c r="AG541" s="32" t="str">
        <f t="shared" si="484"/>
        <v>1+8963,11883473331i</v>
      </c>
      <c r="AH541" s="32">
        <f t="shared" si="503"/>
        <v>8963.11889051746</v>
      </c>
      <c r="AI541" s="32">
        <f t="shared" si="504"/>
        <v>1.57068475848767</v>
      </c>
      <c r="AJ541" s="32" t="str">
        <f t="shared" si="485"/>
        <v>1+167,311551581689i</v>
      </c>
      <c r="AK541" s="32">
        <f t="shared" si="505"/>
        <v>167.314539991814</v>
      </c>
      <c r="AL541" s="32">
        <f t="shared" si="506"/>
        <v>1.56481952433787</v>
      </c>
      <c r="AM541" s="32" t="str">
        <f t="shared" si="486"/>
        <v>1-27,6122304113493i</v>
      </c>
      <c r="AN541" s="32">
        <f t="shared" si="507"/>
        <v>27.6303323955656</v>
      </c>
      <c r="AO541" s="32">
        <f t="shared" si="508"/>
        <v>-1.53459631204586</v>
      </c>
      <c r="AP541" s="30" t="str">
        <f t="shared" si="509"/>
        <v>5,10055828076939-168,09067264244i</v>
      </c>
      <c r="AQ541" s="32">
        <f t="shared" si="510"/>
        <v>44.5148692879946</v>
      </c>
      <c r="AR541" s="31">
        <f t="shared" si="511"/>
        <v>-88.2619450992083</v>
      </c>
      <c r="AS541" t="str">
        <f t="shared" si="487"/>
        <v>-0,000100699300699301</v>
      </c>
      <c r="AT541" t="str">
        <f t="shared" si="488"/>
        <v>2,39763428829115i</v>
      </c>
      <c r="AU541">
        <f t="shared" si="512"/>
        <v>2.39763428829115</v>
      </c>
      <c r="AV541">
        <f t="shared" si="513"/>
        <v>1.5707963267949</v>
      </c>
      <c r="AW541" t="str">
        <f t="shared" si="489"/>
        <v>1+122,75447786353i</v>
      </c>
      <c r="AX541">
        <f t="shared" si="514"/>
        <v>122.758550967124</v>
      </c>
      <c r="AY541">
        <f t="shared" si="515"/>
        <v>1.56265016465629</v>
      </c>
      <c r="AZ541" t="str">
        <f t="shared" si="490"/>
        <v>1+5868,70876083728i</v>
      </c>
      <c r="BA541">
        <f t="shared" si="516"/>
        <v>5868.7088460349</v>
      </c>
      <c r="BB541">
        <f t="shared" si="517"/>
        <v>1.57062593156299</v>
      </c>
      <c r="BC541" s="30" t="str">
        <f t="shared" si="518"/>
        <v>-0,000016014086620636+0,00200780028293981i</v>
      </c>
      <c r="BD541" s="32">
        <f t="shared" si="519"/>
        <v>-53.945313507999</v>
      </c>
      <c r="BE541" s="31">
        <f t="shared" si="520"/>
        <v>90.4569777821337</v>
      </c>
      <c r="BF541" s="30" t="str">
        <f t="shared" si="521"/>
        <v>-0,00170353153923684-0,00480149578185524i</v>
      </c>
      <c r="BG541" s="68">
        <f t="shared" si="522"/>
        <v>-45.8575585218567</v>
      </c>
      <c r="BH541" s="31">
        <f t="shared" si="523"/>
        <v>-109.534269950215</v>
      </c>
      <c r="BI541" s="30" t="str">
        <f t="shared" si="476"/>
        <v>0,337410819308912+0,0129327209510968i</v>
      </c>
      <c r="BJ541" s="68">
        <f t="shared" si="524"/>
        <v>-9.43044422000441</v>
      </c>
      <c r="BK541" s="31">
        <f t="shared" si="477"/>
        <v>2.19503268292541</v>
      </c>
      <c r="BL541" s="32">
        <f t="shared" si="525"/>
        <v>-45.8575585218567</v>
      </c>
      <c r="BM541" s="31">
        <f t="shared" si="526"/>
        <v>-109.534269950215</v>
      </c>
      <c r="BO541">
        <f t="shared" si="527"/>
        <v>0</v>
      </c>
      <c r="BP541">
        <f t="shared" si="528"/>
        <v>0</v>
      </c>
    </row>
    <row r="542" spans="14:68">
      <c r="N542" s="7">
        <v>24</v>
      </c>
      <c r="O542" s="18">
        <f t="shared" si="478"/>
        <v>1737800.82874938</v>
      </c>
      <c r="P542" s="86" t="str">
        <f t="shared" si="479"/>
        <v>60</v>
      </c>
      <c r="Q542" s="4" t="str">
        <f t="shared" si="480"/>
        <v>1+14267,3948550967i</v>
      </c>
      <c r="R542" s="4">
        <f t="shared" si="491"/>
        <v>14267.3948901416</v>
      </c>
      <c r="S542" s="4">
        <f t="shared" si="492"/>
        <v>1.57072623691454</v>
      </c>
      <c r="T542" s="4" t="str">
        <f t="shared" si="481"/>
        <v>1+171,208738261161i</v>
      </c>
      <c r="U542" s="4">
        <f t="shared" si="493"/>
        <v>171.21165864794</v>
      </c>
      <c r="V542" s="4">
        <f t="shared" si="494"/>
        <v>1.56495556984143</v>
      </c>
      <c r="W542" t="str">
        <f t="shared" si="482"/>
        <v>1-238,851476368807i</v>
      </c>
      <c r="X542" s="4">
        <f t="shared" si="495"/>
        <v>238.85356971073</v>
      </c>
      <c r="Y542" s="4">
        <f t="shared" si="496"/>
        <v>-1.56660964906345</v>
      </c>
      <c r="Z542" t="str">
        <f t="shared" si="483"/>
        <v>-23,6526671053228+63,7308662311173i</v>
      </c>
      <c r="AA542" s="4">
        <f t="shared" si="497"/>
        <v>67.9784669712681</v>
      </c>
      <c r="AB542" s="4">
        <f t="shared" si="498"/>
        <v>1.92617299302758</v>
      </c>
      <c r="AC542" s="67" t="str">
        <f t="shared" si="499"/>
        <v>-2,37040633355976+0,884011871514807i</v>
      </c>
      <c r="AD542" s="68">
        <f t="shared" si="500"/>
        <v>8.06200546512049</v>
      </c>
      <c r="AE542" s="31">
        <f t="shared" si="501"/>
        <v>159.547660983367</v>
      </c>
      <c r="AF542" s="32" t="str">
        <f t="shared" si="502"/>
        <v>326,048966736478</v>
      </c>
      <c r="AG542" s="32" t="str">
        <f t="shared" si="484"/>
        <v>1+9171,89669256219i</v>
      </c>
      <c r="AH542" s="32">
        <f t="shared" si="503"/>
        <v>9171.89674707654</v>
      </c>
      <c r="AI542" s="32">
        <f t="shared" si="504"/>
        <v>1.57068729809238</v>
      </c>
      <c r="AJ542" s="32" t="str">
        <f t="shared" si="485"/>
        <v>1+171,208738261161i</v>
      </c>
      <c r="AK542" s="32">
        <f t="shared" si="505"/>
        <v>171.21165864794</v>
      </c>
      <c r="AL542" s="32">
        <f t="shared" si="506"/>
        <v>1.56495556984143</v>
      </c>
      <c r="AM542" s="32" t="str">
        <f t="shared" si="486"/>
        <v>1-28,2554018811751i</v>
      </c>
      <c r="AN542" s="32">
        <f t="shared" si="507"/>
        <v>28.2730920747398</v>
      </c>
      <c r="AO542" s="32">
        <f t="shared" si="508"/>
        <v>-1.53541962965359</v>
      </c>
      <c r="AP542" s="30" t="str">
        <f t="shared" si="509"/>
        <v>5,10055810096471-172,004358232888i</v>
      </c>
      <c r="AQ542" s="32">
        <f t="shared" si="510"/>
        <v>44.7146062674122</v>
      </c>
      <c r="AR542" s="31">
        <f t="shared" si="511"/>
        <v>-88.3014683987861</v>
      </c>
      <c r="AS542" t="str">
        <f t="shared" si="487"/>
        <v>-0,000100699300699301</v>
      </c>
      <c r="AT542" t="str">
        <f t="shared" si="488"/>
        <v>2,45348236526039i</v>
      </c>
      <c r="AU542">
        <f t="shared" si="512"/>
        <v>2.45348236526039</v>
      </c>
      <c r="AV542">
        <f t="shared" si="513"/>
        <v>1.5707963267949</v>
      </c>
      <c r="AW542" t="str">
        <f t="shared" si="489"/>
        <v>1+125,613796968833i</v>
      </c>
      <c r="AX542">
        <f t="shared" si="514"/>
        <v>125.617777360241</v>
      </c>
      <c r="AY542">
        <f t="shared" si="515"/>
        <v>1.56283558601979</v>
      </c>
      <c r="AZ542" t="str">
        <f t="shared" si="490"/>
        <v>1+6005,40854870142i</v>
      </c>
      <c r="BA542">
        <f t="shared" si="516"/>
        <v>6005.4086319597</v>
      </c>
      <c r="BB542">
        <f t="shared" si="517"/>
        <v>1.57062981023193</v>
      </c>
      <c r="BC542" s="30" t="str">
        <f t="shared" si="518"/>
        <v>-0,0000152933796701875+0,00196210290621679i</v>
      </c>
      <c r="BD542" s="32">
        <f t="shared" si="519"/>
        <v>-54.1453005429116</v>
      </c>
      <c r="BE542" s="31">
        <f t="shared" si="520"/>
        <v>90.4465761519343</v>
      </c>
      <c r="BF542" s="30" t="str">
        <f t="shared" si="521"/>
        <v>-0,0016982707381976-0,00466450068517632i</v>
      </c>
      <c r="BG542" s="68">
        <f t="shared" si="522"/>
        <v>-46.0832950777911</v>
      </c>
      <c r="BH542" s="31">
        <f t="shared" si="523"/>
        <v>-110.005762864699</v>
      </c>
      <c r="BI542" s="30" t="str">
        <f t="shared" si="476"/>
        <v>0,337412246399135+0,0126383478286129i</v>
      </c>
      <c r="BJ542" s="68">
        <f t="shared" si="524"/>
        <v>-9.43069427549941</v>
      </c>
      <c r="BK542" s="31">
        <f t="shared" si="477"/>
        <v>2.14510775314818</v>
      </c>
      <c r="BL542" s="32">
        <f t="shared" si="525"/>
        <v>-46.0832950777911</v>
      </c>
      <c r="BM542" s="31">
        <f t="shared" si="526"/>
        <v>-110.005762864699</v>
      </c>
      <c r="BO542">
        <f t="shared" si="527"/>
        <v>0</v>
      </c>
      <c r="BP542">
        <f t="shared" si="528"/>
        <v>0</v>
      </c>
    </row>
    <row r="543" spans="14:68">
      <c r="N543" s="7">
        <v>25</v>
      </c>
      <c r="O543" s="18">
        <f t="shared" si="478"/>
        <v>1778279.41003892</v>
      </c>
      <c r="P543" s="86" t="str">
        <f t="shared" si="479"/>
        <v>60</v>
      </c>
      <c r="Q543" s="4" t="str">
        <f t="shared" si="480"/>
        <v>1+14599,7251733229i</v>
      </c>
      <c r="R543" s="4">
        <f t="shared" si="491"/>
        <v>14599.7252075701</v>
      </c>
      <c r="S543" s="4">
        <f t="shared" si="492"/>
        <v>1.570727832355</v>
      </c>
      <c r="T543" s="4" t="str">
        <f t="shared" si="481"/>
        <v>1+175,196702079875i</v>
      </c>
      <c r="U543" s="4">
        <f t="shared" si="493"/>
        <v>175.19955599163</v>
      </c>
      <c r="V543" s="4">
        <f t="shared" si="494"/>
        <v>1.56508851878017</v>
      </c>
      <c r="W543" t="str">
        <f t="shared" si="482"/>
        <v>1-244,415041964111i</v>
      </c>
      <c r="X543" s="4">
        <f t="shared" si="495"/>
        <v>244.417087656158</v>
      </c>
      <c r="Y543" s="4">
        <f t="shared" si="496"/>
        <v>-1.56670494840768</v>
      </c>
      <c r="Z543" t="str">
        <f t="shared" si="483"/>
        <v>-24,8145115115786+65,2153488062842i</v>
      </c>
      <c r="AA543" s="4">
        <f t="shared" si="497"/>
        <v>69.7767991633579</v>
      </c>
      <c r="AB543" s="4">
        <f t="shared" si="498"/>
        <v>1.93438112926571</v>
      </c>
      <c r="AC543" s="67" t="str">
        <f t="shared" si="499"/>
        <v>-2,35582202697008+0,900569947321028i</v>
      </c>
      <c r="AD543" s="68">
        <f t="shared" si="500"/>
        <v>8.03520182972002</v>
      </c>
      <c r="AE543" s="31">
        <f t="shared" si="501"/>
        <v>159.079435170115</v>
      </c>
      <c r="AF543" s="32" t="str">
        <f t="shared" si="502"/>
        <v>326,048966736478</v>
      </c>
      <c r="AG543" s="32" t="str">
        <f t="shared" si="484"/>
        <v>1+9385,53761142187i</v>
      </c>
      <c r="AH543" s="32">
        <f t="shared" si="503"/>
        <v>9385.53766469532</v>
      </c>
      <c r="AI543" s="32">
        <f t="shared" si="504"/>
        <v>1.57068977988862</v>
      </c>
      <c r="AJ543" s="32" t="str">
        <f t="shared" si="485"/>
        <v>1+175,196702079875i</v>
      </c>
      <c r="AK543" s="32">
        <f t="shared" si="505"/>
        <v>175.19955599163</v>
      </c>
      <c r="AL543" s="32">
        <f t="shared" si="506"/>
        <v>1.56508851878017</v>
      </c>
      <c r="AM543" s="32" t="str">
        <f t="shared" si="486"/>
        <v>1-28,9135547390827i</v>
      </c>
      <c r="AN543" s="32">
        <f t="shared" si="507"/>
        <v>28.9308424981011</v>
      </c>
      <c r="AO543" s="32">
        <f t="shared" si="508"/>
        <v>-1.53622425262991</v>
      </c>
      <c r="AP543" s="30" t="str">
        <f t="shared" si="509"/>
        <v>5,10055792925258-176,009242810816i</v>
      </c>
      <c r="AQ543" s="32">
        <f t="shared" si="510"/>
        <v>44.9143550706036</v>
      </c>
      <c r="AR543" s="31">
        <f t="shared" si="511"/>
        <v>-88.3400946827982</v>
      </c>
      <c r="AS543" t="str">
        <f t="shared" si="487"/>
        <v>-0,000100699300699301</v>
      </c>
      <c r="AT543" t="str">
        <f t="shared" si="488"/>
        <v>2,51063131105535i</v>
      </c>
      <c r="AU543">
        <f t="shared" si="512"/>
        <v>2.51063131105535</v>
      </c>
      <c r="AV543">
        <f t="shared" si="513"/>
        <v>1.5707963267949</v>
      </c>
      <c r="AW543" t="str">
        <f t="shared" si="489"/>
        <v>1+128,539718171983i</v>
      </c>
      <c r="AX543">
        <f t="shared" si="514"/>
        <v>128.543607961395</v>
      </c>
      <c r="AY543">
        <f t="shared" si="515"/>
        <v>1.56301678720671</v>
      </c>
      <c r="AZ543" t="str">
        <f t="shared" si="490"/>
        <v>1+6145,29248366907i</v>
      </c>
      <c r="BA543">
        <f t="shared" si="516"/>
        <v>6145.29256503216</v>
      </c>
      <c r="BB543">
        <f t="shared" si="517"/>
        <v>1.57063360061159</v>
      </c>
      <c r="BC543" s="30" t="str">
        <f t="shared" si="518"/>
        <v>-0,000014605105857103+0,00191744534586203i</v>
      </c>
      <c r="BD543" s="32">
        <f t="shared" si="519"/>
        <v>-54.345288161313</v>
      </c>
      <c r="BE543" s="31">
        <f t="shared" si="520"/>
        <v>90.4364112614382</v>
      </c>
      <c r="BF543" s="30" t="str">
        <f t="shared" si="521"/>
        <v>-0,00169238662402953-0,00453031290070538i</v>
      </c>
      <c r="BG543" s="68">
        <f t="shared" si="522"/>
        <v>-46.310086331593</v>
      </c>
      <c r="BH543" s="31">
        <f t="shared" si="523"/>
        <v>-110.484153568447</v>
      </c>
      <c r="BI543" s="30" t="str">
        <f t="shared" si="476"/>
        <v>0,337413609267812+0,0123506746858255i</v>
      </c>
      <c r="BJ543" s="68">
        <f t="shared" si="524"/>
        <v>-9.43093309070945</v>
      </c>
      <c r="BK543" s="31">
        <f t="shared" si="477"/>
        <v>2.09631657864007</v>
      </c>
      <c r="BL543" s="32">
        <f t="shared" si="525"/>
        <v>-46.310086331593</v>
      </c>
      <c r="BM543" s="31">
        <f t="shared" si="526"/>
        <v>-110.484153568447</v>
      </c>
      <c r="BO543">
        <f t="shared" si="527"/>
        <v>0</v>
      </c>
      <c r="BP543">
        <f t="shared" si="528"/>
        <v>0</v>
      </c>
    </row>
    <row r="544" spans="14:68">
      <c r="N544" s="7">
        <v>26</v>
      </c>
      <c r="O544" s="18">
        <f t="shared" si="478"/>
        <v>1819700.85860998</v>
      </c>
      <c r="P544" s="86" t="str">
        <f t="shared" si="479"/>
        <v>60</v>
      </c>
      <c r="Q544" s="4" t="str">
        <f t="shared" si="480"/>
        <v>1+14939,7964590863i</v>
      </c>
      <c r="R544" s="4">
        <f t="shared" si="491"/>
        <v>14939.796492554</v>
      </c>
      <c r="S544" s="4">
        <f t="shared" si="492"/>
        <v>1.57072939147879</v>
      </c>
      <c r="T544" s="4" t="str">
        <f t="shared" si="481"/>
        <v>1+179,277557509035i</v>
      </c>
      <c r="U544" s="4">
        <f t="shared" si="493"/>
        <v>179.28034645885</v>
      </c>
      <c r="V544" s="4">
        <f t="shared" si="494"/>
        <v>1.56521844162657</v>
      </c>
      <c r="W544" t="str">
        <f t="shared" si="482"/>
        <v>1-250,108199649882i</v>
      </c>
      <c r="X544" s="4">
        <f t="shared" si="495"/>
        <v>250.11019877667</v>
      </c>
      <c r="Y544" s="4">
        <f t="shared" si="496"/>
        <v>-1.56679807854581</v>
      </c>
      <c r="Z544" t="str">
        <f t="shared" si="483"/>
        <v>-26,0311119577626+66,7344094226158i</v>
      </c>
      <c r="AA544" s="4">
        <f t="shared" si="497"/>
        <v>71.631698226015</v>
      </c>
      <c r="AB544" s="4">
        <f t="shared" si="498"/>
        <v>1.9427134293066</v>
      </c>
      <c r="AC544" s="67" t="str">
        <f t="shared" si="499"/>
        <v>-2,34073984010887+0,917135130372076i</v>
      </c>
      <c r="AD544" s="68">
        <f t="shared" si="500"/>
        <v>8.0073081100896</v>
      </c>
      <c r="AE544" s="31">
        <f t="shared" si="501"/>
        <v>158.604048279822</v>
      </c>
      <c r="AF544" s="32" t="str">
        <f t="shared" si="502"/>
        <v>326,048966736478</v>
      </c>
      <c r="AG544" s="32" t="str">
        <f t="shared" si="484"/>
        <v>1+9604,15486655546i</v>
      </c>
      <c r="AH544" s="32">
        <f t="shared" si="503"/>
        <v>9604.15491861626</v>
      </c>
      <c r="AI544" s="32">
        <f t="shared" si="504"/>
        <v>1.57069220519229</v>
      </c>
      <c r="AJ544" s="32" t="str">
        <f t="shared" si="485"/>
        <v>1+179,277557509035i</v>
      </c>
      <c r="AK544" s="32">
        <f t="shared" si="505"/>
        <v>179.28034645885</v>
      </c>
      <c r="AL544" s="32">
        <f t="shared" si="506"/>
        <v>1.56521844162657</v>
      </c>
      <c r="AM544" s="32" t="str">
        <f t="shared" si="486"/>
        <v>1-29,5870379464294i</v>
      </c>
      <c r="AN544" s="32">
        <f t="shared" si="507"/>
        <v>29.6039324151953</v>
      </c>
      <c r="AO544" s="32">
        <f t="shared" si="508"/>
        <v>-1.53701060342675</v>
      </c>
      <c r="AP544" s="30" t="str">
        <f t="shared" si="509"/>
        <v>5,10055776526875-180,10744981904i</v>
      </c>
      <c r="AQ544" s="32">
        <f t="shared" si="510"/>
        <v>45.1141151666506</v>
      </c>
      <c r="AR544" s="31">
        <f t="shared" si="511"/>
        <v>-88.3778441935772</v>
      </c>
      <c r="AS544" t="str">
        <f t="shared" si="487"/>
        <v>-0,000100699300699301</v>
      </c>
      <c r="AT544" t="str">
        <f t="shared" si="488"/>
        <v>2,56911142680358i</v>
      </c>
      <c r="AU544">
        <f t="shared" si="512"/>
        <v>2.56911142680358</v>
      </c>
      <c r="AV544">
        <f t="shared" si="513"/>
        <v>1.5707963267949</v>
      </c>
      <c r="AW544" t="str">
        <f t="shared" si="489"/>
        <v>1+131,533792835134i</v>
      </c>
      <c r="AX544">
        <f t="shared" si="514"/>
        <v>131.537594084718</v>
      </c>
      <c r="AY544">
        <f t="shared" si="515"/>
        <v>1.56319386424471</v>
      </c>
      <c r="AZ544" t="str">
        <f t="shared" si="490"/>
        <v>1+6288,43473405416i</v>
      </c>
      <c r="BA544">
        <f t="shared" si="516"/>
        <v>6288.4348135652</v>
      </c>
      <c r="BB544">
        <f t="shared" si="517"/>
        <v>1.57063730471168</v>
      </c>
      <c r="BC544" s="30" t="str">
        <f t="shared" si="518"/>
        <v>-0,0000139478058033138+0,00187380395832018i</v>
      </c>
      <c r="BD544" s="32">
        <f t="shared" si="519"/>
        <v>-54.5452763369452</v>
      </c>
      <c r="BE544" s="31">
        <f t="shared" si="520"/>
        <v>90.4264777238145</v>
      </c>
      <c r="BF544" s="30" t="str">
        <f t="shared" si="521"/>
        <v>-0,00168588325287977-0,00439887960048757i</v>
      </c>
      <c r="BG544" s="68">
        <f t="shared" si="522"/>
        <v>-46.5379682268556</v>
      </c>
      <c r="BH544" s="31">
        <f t="shared" si="523"/>
        <v>-110.969473996363</v>
      </c>
      <c r="BI544" s="30" t="str">
        <f t="shared" si="476"/>
        <v>0,337414910804672+0,0120695490640074i</v>
      </c>
      <c r="BJ544" s="68">
        <f t="shared" si="524"/>
        <v>-9.43116117029459</v>
      </c>
      <c r="BK544" s="31">
        <f t="shared" si="477"/>
        <v>2.04863353023734</v>
      </c>
      <c r="BL544" s="32">
        <f t="shared" si="525"/>
        <v>-46.5379682268556</v>
      </c>
      <c r="BM544" s="31">
        <f t="shared" si="526"/>
        <v>-110.969473996363</v>
      </c>
      <c r="BO544">
        <f t="shared" si="527"/>
        <v>0</v>
      </c>
      <c r="BP544">
        <f t="shared" si="528"/>
        <v>0</v>
      </c>
    </row>
    <row r="545" spans="14:68">
      <c r="N545" s="7">
        <v>27</v>
      </c>
      <c r="O545" s="18">
        <f t="shared" si="478"/>
        <v>1862087.13666287</v>
      </c>
      <c r="P545" s="86" t="str">
        <f t="shared" si="479"/>
        <v>60</v>
      </c>
      <c r="Q545" s="4" t="str">
        <f t="shared" si="480"/>
        <v>1+15287,7890226839i</v>
      </c>
      <c r="R545" s="4">
        <f t="shared" si="491"/>
        <v>15287.7890553897</v>
      </c>
      <c r="S545" s="4">
        <f t="shared" si="492"/>
        <v>1.5707309151126</v>
      </c>
      <c r="T545" s="4" t="str">
        <f t="shared" si="481"/>
        <v>1+183,453468272207i</v>
      </c>
      <c r="U545" s="4">
        <f t="shared" si="493"/>
        <v>183.456193738728</v>
      </c>
      <c r="V545" s="4">
        <f t="shared" si="494"/>
        <v>1.56534540724988</v>
      </c>
      <c r="W545" t="str">
        <f t="shared" si="482"/>
        <v>1-255,933968013682i</v>
      </c>
      <c r="X545" s="4">
        <f t="shared" si="495"/>
        <v>255.93592163514</v>
      </c>
      <c r="Y545" s="4">
        <f t="shared" si="496"/>
        <v>-1.5668890888502</v>
      </c>
      <c r="Z545" t="str">
        <f t="shared" si="483"/>
        <v>-27,3050490165336+68,288853506158i</v>
      </c>
      <c r="AA545" s="4">
        <f t="shared" si="497"/>
        <v>73.5454499950936</v>
      </c>
      <c r="AB545" s="4">
        <f t="shared" si="498"/>
        <v>1.95117024247292</v>
      </c>
      <c r="AC545" s="67" t="str">
        <f t="shared" si="499"/>
        <v>-2,32515088810705+0,933692193576638i</v>
      </c>
      <c r="AD545" s="68">
        <f t="shared" si="500"/>
        <v>7.9782876616827</v>
      </c>
      <c r="AE545" s="31">
        <f t="shared" si="501"/>
        <v>158.1214813675</v>
      </c>
      <c r="AF545" s="32" t="str">
        <f t="shared" si="502"/>
        <v>326,048966736478</v>
      </c>
      <c r="AG545" s="32" t="str">
        <f t="shared" si="484"/>
        <v>1+9827,86437172538i</v>
      </c>
      <c r="AH545" s="32">
        <f t="shared" si="503"/>
        <v>9827.86442260113</v>
      </c>
      <c r="AI545" s="32">
        <f t="shared" si="504"/>
        <v>1.57069457528931</v>
      </c>
      <c r="AJ545" s="32" t="str">
        <f t="shared" si="485"/>
        <v>1+183,453468272207i</v>
      </c>
      <c r="AK545" s="32">
        <f t="shared" si="505"/>
        <v>183.456193738728</v>
      </c>
      <c r="AL545" s="32">
        <f t="shared" si="506"/>
        <v>1.56534540724988</v>
      </c>
      <c r="AM545" s="32" t="str">
        <f t="shared" si="486"/>
        <v>1-30,2762085929262i</v>
      </c>
      <c r="AN545" s="32">
        <f t="shared" si="507"/>
        <v>30.2927187086663</v>
      </c>
      <c r="AO545" s="32">
        <f t="shared" si="508"/>
        <v>-1.5377790950856</v>
      </c>
      <c r="AP545" s="30" t="str">
        <f t="shared" si="509"/>
        <v>5,10055760866544-184,301152181162i</v>
      </c>
      <c r="AQ545" s="32">
        <f t="shared" si="510"/>
        <v>45.3138860484217</v>
      </c>
      <c r="AR545" s="31">
        <f t="shared" si="511"/>
        <v>-88.4147367244169</v>
      </c>
      <c r="AS545" t="str">
        <f t="shared" si="487"/>
        <v>-0,000100699300699301</v>
      </c>
      <c r="AT545" t="str">
        <f t="shared" si="488"/>
        <v>2,62895371943653i</v>
      </c>
      <c r="AU545">
        <f t="shared" si="512"/>
        <v>2.62895371943653</v>
      </c>
      <c r="AV545">
        <f t="shared" si="513"/>
        <v>1.5707963267949</v>
      </c>
      <c r="AW545" t="str">
        <f t="shared" si="489"/>
        <v>1+134,597608456302i</v>
      </c>
      <c r="AX545">
        <f t="shared" si="514"/>
        <v>134.601323181297</v>
      </c>
      <c r="AY545">
        <f t="shared" si="515"/>
        <v>1.56336691097792</v>
      </c>
      <c r="AZ545" t="str">
        <f t="shared" si="490"/>
        <v>1+6434,91119577256i</v>
      </c>
      <c r="BA545">
        <f t="shared" si="516"/>
        <v>6434.91127347371</v>
      </c>
      <c r="BB545">
        <f t="shared" si="517"/>
        <v>1.57064092449617</v>
      </c>
      <c r="BC545" s="30" t="str">
        <f t="shared" si="518"/>
        <v>-0,0000133200857824782+0,00183115563652367i</v>
      </c>
      <c r="BD545" s="32">
        <f t="shared" si="519"/>
        <v>-54.7452650447315</v>
      </c>
      <c r="BE545" s="31">
        <f t="shared" si="520"/>
        <v>90.4167702747166</v>
      </c>
      <c r="BF545" s="30" t="str">
        <f t="shared" si="521"/>
        <v>-0,00167876451375922-0,00427015001463811i</v>
      </c>
      <c r="BG545" s="68">
        <f t="shared" si="522"/>
        <v>-46.7669773830488</v>
      </c>
      <c r="BH545" s="31">
        <f t="shared" si="523"/>
        <v>-111.461748357783</v>
      </c>
      <c r="BI545" s="30" t="str">
        <f t="shared" si="476"/>
        <v>0,337416153769456+0,0117948219713841i</v>
      </c>
      <c r="BJ545" s="68">
        <f t="shared" si="524"/>
        <v>-9.43137899630978</v>
      </c>
      <c r="BK545" s="31">
        <f t="shared" si="477"/>
        <v>2.00203355029974</v>
      </c>
      <c r="BL545" s="32">
        <f t="shared" si="525"/>
        <v>-46.7669773830488</v>
      </c>
      <c r="BM545" s="31">
        <f t="shared" si="526"/>
        <v>-111.461748357783</v>
      </c>
      <c r="BO545">
        <f t="shared" si="527"/>
        <v>0</v>
      </c>
      <c r="BP545">
        <f t="shared" si="528"/>
        <v>0</v>
      </c>
    </row>
    <row r="546" spans="14:68">
      <c r="N546" s="7">
        <v>28</v>
      </c>
      <c r="O546" s="18">
        <f t="shared" si="478"/>
        <v>1905460.71796325</v>
      </c>
      <c r="P546" s="86" t="str">
        <f t="shared" si="479"/>
        <v>60</v>
      </c>
      <c r="Q546" s="4" t="str">
        <f t="shared" si="480"/>
        <v>1+15643,8873743791i</v>
      </c>
      <c r="R546" s="4">
        <f t="shared" si="491"/>
        <v>15643.8874063405</v>
      </c>
      <c r="S546" s="4">
        <f t="shared" si="492"/>
        <v>1.57073240406427</v>
      </c>
      <c r="T546" s="4" t="str">
        <f t="shared" si="481"/>
        <v>1+187,726648492549i</v>
      </c>
      <c r="U546" s="4">
        <f t="shared" si="493"/>
        <v>187.729311920768</v>
      </c>
      <c r="V546" s="4">
        <f t="shared" si="494"/>
        <v>1.56546948295259</v>
      </c>
      <c r="W546" t="str">
        <f t="shared" si="482"/>
        <v>1-261,895435955007i</v>
      </c>
      <c r="X546" s="4">
        <f t="shared" si="495"/>
        <v>261.897345106939</v>
      </c>
      <c r="Y546" s="4">
        <f t="shared" si="496"/>
        <v>-1.56697802756969</v>
      </c>
      <c r="Z546" t="str">
        <f t="shared" si="483"/>
        <v>-28,6390248791925+69,8795052437384i</v>
      </c>
      <c r="AA546" s="4">
        <f t="shared" si="497"/>
        <v>75.5204541772669</v>
      </c>
      <c r="AB546" s="4">
        <f t="shared" si="498"/>
        <v>1.95975177817336</v>
      </c>
      <c r="AC546" s="67" t="str">
        <f t="shared" si="499"/>
        <v>-2,30904678379833+0,950225084233482i</v>
      </c>
      <c r="AD546" s="68">
        <f t="shared" si="500"/>
        <v>7.9481031998638</v>
      </c>
      <c r="AE546" s="31">
        <f t="shared" si="501"/>
        <v>157.631723480321</v>
      </c>
      <c r="AF546" s="32" t="str">
        <f t="shared" si="502"/>
        <v>326,048966736478</v>
      </c>
      <c r="AG546" s="32" t="str">
        <f t="shared" si="484"/>
        <v>1+10056,7847406723i</v>
      </c>
      <c r="AH546" s="32">
        <f t="shared" si="503"/>
        <v>10056.78479039</v>
      </c>
      <c r="AI546" s="32">
        <f t="shared" si="504"/>
        <v>1.57069689143633</v>
      </c>
      <c r="AJ546" s="32" t="str">
        <f t="shared" si="485"/>
        <v>1+187,726648492549i</v>
      </c>
      <c r="AK546" s="32">
        <f t="shared" si="505"/>
        <v>187.729311920768</v>
      </c>
      <c r="AL546" s="32">
        <f t="shared" si="506"/>
        <v>1.56546948295259</v>
      </c>
      <c r="AM546" s="32" t="str">
        <f t="shared" si="486"/>
        <v>1-30,9814320859717i</v>
      </c>
      <c r="AN546" s="32">
        <f t="shared" si="507"/>
        <v>30.9975665834865</v>
      </c>
      <c r="AO546" s="32">
        <f t="shared" si="508"/>
        <v>-1.53853013143797</v>
      </c>
      <c r="AP546" s="30" t="str">
        <f t="shared" si="509"/>
        <v>5,10055745911041-188,592573453681i</v>
      </c>
      <c r="AQ546" s="32">
        <f t="shared" si="510"/>
        <v>45.5136672315104</v>
      </c>
      <c r="AR546" s="31">
        <f t="shared" si="511"/>
        <v>-88.4507916290132</v>
      </c>
      <c r="AS546" t="str">
        <f t="shared" si="487"/>
        <v>-0,000100699300699301</v>
      </c>
      <c r="AT546" t="str">
        <f t="shared" si="488"/>
        <v>2,69018991812982i</v>
      </c>
      <c r="AU546">
        <f t="shared" si="512"/>
        <v>2.69018991812982</v>
      </c>
      <c r="AV546">
        <f t="shared" si="513"/>
        <v>1.5707963267949</v>
      </c>
      <c r="AW546" t="str">
        <f t="shared" si="489"/>
        <v>1+137,732789511083i</v>
      </c>
      <c r="AX546">
        <f t="shared" si="514"/>
        <v>137.736419680868</v>
      </c>
      <c r="AY546">
        <f t="shared" si="515"/>
        <v>1.56353601911654</v>
      </c>
      <c r="AZ546" t="str">
        <f t="shared" si="490"/>
        <v>1+6584,79953258302i</v>
      </c>
      <c r="BA546">
        <f t="shared" si="516"/>
        <v>6584.79960851547</v>
      </c>
      <c r="BB546">
        <f t="shared" si="517"/>
        <v>1.5706444618843</v>
      </c>
      <c r="BC546" s="30" t="str">
        <f t="shared" si="518"/>
        <v>-0,0000127206147679033+0,00178947779779444i</v>
      </c>
      <c r="BD546" s="32">
        <f t="shared" si="519"/>
        <v>-54.9452542607238</v>
      </c>
      <c r="BE546" s="31">
        <f t="shared" si="520"/>
        <v>90.4072837695031</v>
      </c>
      <c r="BF546" s="30" t="str">
        <f t="shared" si="521"/>
        <v>-0,0016710341965254-0,0041440754009151i</v>
      </c>
      <c r="BG546" s="68">
        <f t="shared" si="522"/>
        <v>-46.99715106086</v>
      </c>
      <c r="BH546" s="31">
        <f t="shared" si="523"/>
        <v>-111.960992750176</v>
      </c>
      <c r="BI546" s="30" t="str">
        <f t="shared" si="476"/>
        <v>0,33741734079774+0,0115263478044447i</v>
      </c>
      <c r="BJ546" s="68">
        <f t="shared" si="524"/>
        <v>-9.43158702921336</v>
      </c>
      <c r="BK546" s="31">
        <f t="shared" si="477"/>
        <v>1.95649214048988</v>
      </c>
      <c r="BL546" s="32">
        <f t="shared" si="525"/>
        <v>-46.99715106086</v>
      </c>
      <c r="BM546" s="31">
        <f t="shared" si="526"/>
        <v>-111.960992750176</v>
      </c>
      <c r="BO546">
        <f t="shared" si="527"/>
        <v>0</v>
      </c>
      <c r="BP546">
        <f t="shared" si="528"/>
        <v>0</v>
      </c>
    </row>
    <row r="547" spans="14:68">
      <c r="N547" s="7">
        <v>29</v>
      </c>
      <c r="O547" s="18">
        <f t="shared" si="478"/>
        <v>1949844.59975805</v>
      </c>
      <c r="P547" s="86" t="str">
        <f t="shared" si="479"/>
        <v>60</v>
      </c>
      <c r="Q547" s="4" t="str">
        <f t="shared" si="480"/>
        <v>1+16008,2803222314i</v>
      </c>
      <c r="R547" s="4">
        <f t="shared" si="491"/>
        <v>16008.2803534652</v>
      </c>
      <c r="S547" s="4">
        <f t="shared" si="492"/>
        <v>1.57073385912326</v>
      </c>
      <c r="T547" s="4" t="str">
        <f t="shared" si="481"/>
        <v>1+192,099363866777i</v>
      </c>
      <c r="U547" s="4">
        <f t="shared" si="493"/>
        <v>192.101966668799</v>
      </c>
      <c r="V547" s="4">
        <f t="shared" si="494"/>
        <v>1.56559073450597</v>
      </c>
      <c r="W547" t="str">
        <f t="shared" si="482"/>
        <v>1-267,99576432307i</v>
      </c>
      <c r="X547" s="4">
        <f t="shared" si="495"/>
        <v>267.997630017705</v>
      </c>
      <c r="Y547" s="4">
        <f t="shared" si="496"/>
        <v>-1.56706494185512</v>
      </c>
      <c r="Z547" t="str">
        <f t="shared" si="483"/>
        <v>-30,0358690873928+71,5072080199633i</v>
      </c>
      <c r="AA547" s="4">
        <f t="shared" si="497"/>
        <v>77.5592304670779</v>
      </c>
      <c r="AB547" s="4">
        <f t="shared" si="498"/>
        <v>1.96845809913279</v>
      </c>
      <c r="AC547" s="67" t="str">
        <f t="shared" si="499"/>
        <v>-2,29241969919924+0,966716927869709i</v>
      </c>
      <c r="AD547" s="68">
        <f t="shared" si="500"/>
        <v>7.9167168389259</v>
      </c>
      <c r="AE547" s="31">
        <f t="shared" si="501"/>
        <v>157.134772046054</v>
      </c>
      <c r="AF547" s="32" t="str">
        <f t="shared" si="502"/>
        <v>326,048966736478</v>
      </c>
      <c r="AG547" s="32" t="str">
        <f t="shared" si="484"/>
        <v>1+10291,0373500059i</v>
      </c>
      <c r="AH547" s="32">
        <f t="shared" si="503"/>
        <v>10291.0373985919</v>
      </c>
      <c r="AI547" s="32">
        <f t="shared" si="504"/>
        <v>1.57069915486141</v>
      </c>
      <c r="AJ547" s="32" t="str">
        <f t="shared" si="485"/>
        <v>1+192,099363866777i</v>
      </c>
      <c r="AK547" s="32">
        <f t="shared" si="505"/>
        <v>192.101966668799</v>
      </c>
      <c r="AL547" s="32">
        <f t="shared" si="506"/>
        <v>1.56559073450597</v>
      </c>
      <c r="AM547" s="32" t="str">
        <f t="shared" si="486"/>
        <v>1-31,7030823443968i</v>
      </c>
      <c r="AN547" s="32">
        <f t="shared" si="507"/>
        <v>31.7188497606014</v>
      </c>
      <c r="AO547" s="32">
        <f t="shared" si="508"/>
        <v>-1.53926410730235</v>
      </c>
      <c r="AP547" s="30" t="str">
        <f t="shared" si="509"/>
        <v>5,1005573162865-192,983989004962i</v>
      </c>
      <c r="AQ547" s="32">
        <f t="shared" si="510"/>
        <v>45.7134582532218</v>
      </c>
      <c r="AR547" s="31">
        <f t="shared" si="511"/>
        <v>-88.4860278307428</v>
      </c>
      <c r="AS547" t="str">
        <f t="shared" si="487"/>
        <v>-0,000100699300699301</v>
      </c>
      <c r="AT547" t="str">
        <f t="shared" si="488"/>
        <v>2,75285249112658i</v>
      </c>
      <c r="AU547">
        <f t="shared" si="512"/>
        <v>2.75285249112658</v>
      </c>
      <c r="AV547">
        <f t="shared" si="513"/>
        <v>1.5707963267949</v>
      </c>
      <c r="AW547" t="str">
        <f t="shared" si="489"/>
        <v>1+140,94099831397i</v>
      </c>
      <c r="AX547">
        <f t="shared" si="514"/>
        <v>140.944545853107</v>
      </c>
      <c r="AY547">
        <f t="shared" si="515"/>
        <v>1.56370127828522</v>
      </c>
      <c r="AZ547" t="str">
        <f t="shared" si="490"/>
        <v>1+6738,17921726575i</v>
      </c>
      <c r="BA547">
        <f t="shared" si="516"/>
        <v>6738.17929146977</v>
      </c>
      <c r="BB547">
        <f t="shared" si="517"/>
        <v>1.57064791875165</v>
      </c>
      <c r="BC547" s="30" t="str">
        <f t="shared" si="518"/>
        <v>-0,0000121481216130911+0,00174874837201363i</v>
      </c>
      <c r="BD547" s="32">
        <f t="shared" si="519"/>
        <v>-55.1452439620513</v>
      </c>
      <c r="BE547" s="31">
        <f t="shared" si="520"/>
        <v>90.3980131805211</v>
      </c>
      <c r="BF547" s="30" t="str">
        <f t="shared" si="521"/>
        <v>-0,00166269606051605-0,00402060901175184i</v>
      </c>
      <c r="BG547" s="68">
        <f t="shared" si="522"/>
        <v>-47.2285271231254</v>
      </c>
      <c r="BH547" s="31">
        <f t="shared" si="523"/>
        <v>-112.467214773425</v>
      </c>
      <c r="BI547" s="30" t="str">
        <f t="shared" si="476"/>
        <v>0,337418474406551+0,0112639842710299i</v>
      </c>
      <c r="BJ547" s="68">
        <f t="shared" si="524"/>
        <v>-9.43178570882949</v>
      </c>
      <c r="BK547" s="31">
        <f t="shared" si="477"/>
        <v>1.91198534977835</v>
      </c>
      <c r="BL547" s="32">
        <f t="shared" si="525"/>
        <v>-47.2285271231254</v>
      </c>
      <c r="BM547" s="31">
        <f t="shared" si="526"/>
        <v>-112.467214773425</v>
      </c>
      <c r="BO547">
        <f t="shared" si="527"/>
        <v>0</v>
      </c>
      <c r="BP547">
        <f t="shared" si="528"/>
        <v>0</v>
      </c>
    </row>
    <row r="548" spans="14:68">
      <c r="N548" s="7">
        <v>30</v>
      </c>
      <c r="O548" s="18">
        <f t="shared" si="478"/>
        <v>1995262.31496888</v>
      </c>
      <c r="P548" s="86" t="str">
        <f t="shared" si="479"/>
        <v>60</v>
      </c>
      <c r="Q548" s="4" t="str">
        <f t="shared" si="480"/>
        <v>1+16381,1610722053i</v>
      </c>
      <c r="R548" s="4">
        <f t="shared" si="491"/>
        <v>16381.1611027282</v>
      </c>
      <c r="S548" s="4">
        <f t="shared" si="492"/>
        <v>1.57073528106106</v>
      </c>
      <c r="T548" s="4" t="str">
        <f t="shared" si="481"/>
        <v>1+196,573932866464i</v>
      </c>
      <c r="U548" s="4">
        <f t="shared" si="493"/>
        <v>196.576476422254</v>
      </c>
      <c r="V548" s="4">
        <f t="shared" si="494"/>
        <v>1.56570922618493</v>
      </c>
      <c r="W548" t="str">
        <f t="shared" si="482"/>
        <v>1-274,238187592723i</v>
      </c>
      <c r="X548" s="4">
        <f t="shared" si="495"/>
        <v>274.240010819249</v>
      </c>
      <c r="Y548" s="4">
        <f t="shared" si="496"/>
        <v>-1.56714987778436</v>
      </c>
      <c r="Z548" t="str">
        <f t="shared" si="483"/>
        <v>-31,4985445349795+73,1728248643907i</v>
      </c>
      <c r="AA548" s="4">
        <f t="shared" si="497"/>
        <v>79.664424974118</v>
      </c>
      <c r="AB548" s="4">
        <f t="shared" si="498"/>
        <v>1.97728911466908</v>
      </c>
      <c r="AC548" s="67" t="str">
        <f t="shared" si="499"/>
        <v>-2,27526242891235+0,983150036490475i</v>
      </c>
      <c r="AD548" s="68">
        <f t="shared" si="500"/>
        <v>7.88409013566898</v>
      </c>
      <c r="AE548" s="31">
        <f t="shared" si="501"/>
        <v>156.630633258813</v>
      </c>
      <c r="AF548" s="32" t="str">
        <f t="shared" si="502"/>
        <v>326,048966736478</v>
      </c>
      <c r="AG548" s="32" t="str">
        <f t="shared" si="484"/>
        <v>1+10530,7464035605i</v>
      </c>
      <c r="AH548" s="32">
        <f t="shared" si="503"/>
        <v>10530.7464510405</v>
      </c>
      <c r="AI548" s="32">
        <f t="shared" si="504"/>
        <v>1.57070136676465</v>
      </c>
      <c r="AJ548" s="32" t="str">
        <f t="shared" si="485"/>
        <v>1+196,573932866464i</v>
      </c>
      <c r="AK548" s="32">
        <f t="shared" si="505"/>
        <v>196.576476422254</v>
      </c>
      <c r="AL548" s="32">
        <f t="shared" si="506"/>
        <v>1.56570922618493</v>
      </c>
      <c r="AM548" s="32" t="str">
        <f t="shared" si="486"/>
        <v>1-32,441541996721i</v>
      </c>
      <c r="AN548" s="32">
        <f t="shared" si="507"/>
        <v>32.4569506750867</v>
      </c>
      <c r="AO548" s="32">
        <f t="shared" si="508"/>
        <v>-1.53998140867738</v>
      </c>
      <c r="AP548" s="30" t="str">
        <f t="shared" si="509"/>
        <v>5,10055717989074-197,477727221658i</v>
      </c>
      <c r="AQ548" s="32">
        <f t="shared" si="510"/>
        <v>45.9132586716029</v>
      </c>
      <c r="AR548" s="31">
        <f t="shared" si="511"/>
        <v>-88.5204638317786</v>
      </c>
      <c r="AS548" t="str">
        <f t="shared" si="487"/>
        <v>-0,000100699300699301</v>
      </c>
      <c r="AT548" t="str">
        <f t="shared" si="488"/>
        <v>2,81697466295244i</v>
      </c>
      <c r="AU548">
        <f t="shared" si="512"/>
        <v>2.81697466295244</v>
      </c>
      <c r="AV548">
        <f t="shared" si="513"/>
        <v>1.5707963267949</v>
      </c>
      <c r="AW548" t="str">
        <f t="shared" si="489"/>
        <v>1+144,223935899739i</v>
      </c>
      <c r="AX548">
        <f t="shared" si="514"/>
        <v>144.22740268899</v>
      </c>
      <c r="AY548">
        <f t="shared" si="515"/>
        <v>1.56386277607045</v>
      </c>
      <c r="AZ548" t="str">
        <f t="shared" si="490"/>
        <v>1+6895,13157375987i</v>
      </c>
      <c r="BA548">
        <f t="shared" si="516"/>
        <v>6895.1316462748</v>
      </c>
      <c r="BB548">
        <f t="shared" si="517"/>
        <v>1.5706512969311</v>
      </c>
      <c r="BC548" s="30" t="str">
        <f t="shared" si="518"/>
        <v>-0,000011601392358962+0,00170894579005337i</v>
      </c>
      <c r="BD548" s="32">
        <f t="shared" si="519"/>
        <v>-55.3452341268726</v>
      </c>
      <c r="BE548" s="31">
        <f t="shared" si="520"/>
        <v>90.3889535944518</v>
      </c>
      <c r="BF548" s="30" t="str">
        <f t="shared" si="521"/>
        <v>-0,0016537539036938-0,00389970605847742i</v>
      </c>
      <c r="BG548" s="68">
        <f t="shared" si="522"/>
        <v>-47.4611439912036</v>
      </c>
      <c r="BH548" s="31">
        <f t="shared" si="523"/>
        <v>-112.980413146735</v>
      </c>
      <c r="BI548" s="30" t="str">
        <f t="shared" si="476"/>
        <v>0,337419556999667+0,0110075923151553i</v>
      </c>
      <c r="BJ548" s="68">
        <f t="shared" si="524"/>
        <v>-9.43197545526967</v>
      </c>
      <c r="BK548" s="31">
        <f t="shared" si="477"/>
        <v>1.86848976267324</v>
      </c>
      <c r="BL548" s="32">
        <f t="shared" si="525"/>
        <v>-47.4611439912036</v>
      </c>
      <c r="BM548" s="31">
        <f t="shared" si="526"/>
        <v>-112.980413146735</v>
      </c>
      <c r="BO548">
        <f t="shared" si="527"/>
        <v>0</v>
      </c>
      <c r="BP548">
        <f t="shared" si="528"/>
        <v>0</v>
      </c>
    </row>
    <row r="549" spans="14:68">
      <c r="N549" s="7">
        <v>31</v>
      </c>
      <c r="O549" s="18">
        <f t="shared" si="478"/>
        <v>2041737.94466953</v>
      </c>
      <c r="P549" s="86" t="str">
        <f t="shared" si="479"/>
        <v>60</v>
      </c>
      <c r="Q549" s="4" t="str">
        <f t="shared" si="480"/>
        <v>1+16762,7273306099i</v>
      </c>
      <c r="R549" s="4">
        <f t="shared" si="491"/>
        <v>16762.727360438</v>
      </c>
      <c r="S549" s="4">
        <f t="shared" si="492"/>
        <v>1.57073667063161</v>
      </c>
      <c r="T549" s="4" t="str">
        <f t="shared" si="481"/>
        <v>1+201,152727967319i</v>
      </c>
      <c r="U549" s="4">
        <f t="shared" si="493"/>
        <v>201.155213625435</v>
      </c>
      <c r="V549" s="4">
        <f t="shared" si="494"/>
        <v>1.56582502080203</v>
      </c>
      <c r="W549" t="str">
        <f t="shared" si="482"/>
        <v>1-280,626015579407i</v>
      </c>
      <c r="X549" s="4">
        <f t="shared" si="495"/>
        <v>280.627797304497</v>
      </c>
      <c r="Y549" s="4">
        <f t="shared" si="496"/>
        <v>-1.56723288038664</v>
      </c>
      <c r="Z549" t="str">
        <f t="shared" si="483"/>
        <v>-33,0301537526804+74,8772389091177i</v>
      </c>
      <c r="AA549" s="4">
        <f t="shared" si="497"/>
        <v>81.8388169732358</v>
      </c>
      <c r="AB549" s="4">
        <f t="shared" si="498"/>
        <v>1.98624457405549</v>
      </c>
      <c r="AC549" s="67" t="str">
        <f t="shared" si="499"/>
        <v>-2,2575684551697+0,999505921580235i</v>
      </c>
      <c r="AD549" s="68">
        <f t="shared" si="500"/>
        <v>7.85018413767278</v>
      </c>
      <c r="AE549" s="31">
        <f t="shared" si="501"/>
        <v>156.119322459894</v>
      </c>
      <c r="AF549" s="32" t="str">
        <f t="shared" si="502"/>
        <v>326,048966736478</v>
      </c>
      <c r="AG549" s="32" t="str">
        <f t="shared" si="484"/>
        <v>1+10776,0389982492i</v>
      </c>
      <c r="AH549" s="32">
        <f t="shared" si="503"/>
        <v>10776.0390446484</v>
      </c>
      <c r="AI549" s="32">
        <f t="shared" si="504"/>
        <v>1.57070352831882</v>
      </c>
      <c r="AJ549" s="32" t="str">
        <f t="shared" si="485"/>
        <v>1+201,152727967319i</v>
      </c>
      <c r="AK549" s="32">
        <f t="shared" si="505"/>
        <v>201.155213625435</v>
      </c>
      <c r="AL549" s="32">
        <f t="shared" si="506"/>
        <v>1.56582502080203</v>
      </c>
      <c r="AM549" s="32" t="str">
        <f t="shared" si="486"/>
        <v>1-33,1972025840263i</v>
      </c>
      <c r="AN549" s="32">
        <f t="shared" si="507"/>
        <v>33.2122606789252</v>
      </c>
      <c r="AO549" s="32">
        <f t="shared" si="508"/>
        <v>-1.54068241293151</v>
      </c>
      <c r="AP549" s="30" t="str">
        <f t="shared" si="509"/>
        <v>5,10055704963375-202,076170743251i</v>
      </c>
      <c r="AQ549" s="32">
        <f t="shared" si="510"/>
        <v>46.1130680645164</v>
      </c>
      <c r="AR549" s="31">
        <f t="shared" si="511"/>
        <v>-88.5541177220426</v>
      </c>
      <c r="AS549" t="str">
        <f t="shared" si="487"/>
        <v>-0,000100699300699301</v>
      </c>
      <c r="AT549" t="str">
        <f t="shared" si="488"/>
        <v>2,88259043203168i</v>
      </c>
      <c r="AU549">
        <f t="shared" si="512"/>
        <v>2.88259043203168</v>
      </c>
      <c r="AV549">
        <f t="shared" si="513"/>
        <v>1.5707963267949</v>
      </c>
      <c r="AW549" t="str">
        <f t="shared" si="489"/>
        <v>1+147,583342925352i</v>
      </c>
      <c r="AX549">
        <f t="shared" si="514"/>
        <v>147.586730802678</v>
      </c>
      <c r="AY549">
        <f t="shared" si="515"/>
        <v>1.56402059806676</v>
      </c>
      <c r="AZ549" t="str">
        <f t="shared" si="490"/>
        <v>1+7055,73982028222i</v>
      </c>
      <c r="BA549">
        <f t="shared" si="516"/>
        <v>7055.73989114651</v>
      </c>
      <c r="BB549">
        <f t="shared" si="517"/>
        <v>1.5706545982138</v>
      </c>
      <c r="BC549" s="30" t="str">
        <f t="shared" si="518"/>
        <v>-0,0000110792676620739+0,00167004897246532i</v>
      </c>
      <c r="BD549" s="32">
        <f t="shared" si="519"/>
        <v>-55.5452247343291</v>
      </c>
      <c r="BE549" s="31">
        <f t="shared" si="520"/>
        <v>90.3801002097145</v>
      </c>
      <c r="BF549" s="30" t="str">
        <f t="shared" si="521"/>
        <v>-0,00164421163212779-0,00378132367246129i</v>
      </c>
      <c r="BG549" s="68">
        <f t="shared" si="522"/>
        <v>-47.6950405966564</v>
      </c>
      <c r="BH549" s="31">
        <f t="shared" si="523"/>
        <v>-113.500577330392</v>
      </c>
      <c r="BI549" s="30" t="str">
        <f t="shared" si="476"/>
        <v>0,337420590872714+0,010757036043533i</v>
      </c>
      <c r="BJ549" s="68">
        <f t="shared" si="524"/>
        <v>-9.43215666981272</v>
      </c>
      <c r="BK549" s="31">
        <f t="shared" si="477"/>
        <v>1.82598248767181</v>
      </c>
      <c r="BL549" s="32">
        <f t="shared" si="525"/>
        <v>-47.6950405966564</v>
      </c>
      <c r="BM549" s="31">
        <f t="shared" si="526"/>
        <v>-113.500577330392</v>
      </c>
      <c r="BO549">
        <f t="shared" si="527"/>
        <v>0</v>
      </c>
      <c r="BP549">
        <f t="shared" si="528"/>
        <v>0</v>
      </c>
    </row>
    <row r="550" spans="14:68">
      <c r="N550" s="7">
        <v>32</v>
      </c>
      <c r="O550" s="18">
        <f t="shared" si="478"/>
        <v>2089296.13085404</v>
      </c>
      <c r="P550" s="86" t="str">
        <f t="shared" si="479"/>
        <v>60</v>
      </c>
      <c r="Q550" s="4" t="str">
        <f t="shared" si="480"/>
        <v>1+17153,1814089263i</v>
      </c>
      <c r="R550" s="4">
        <f t="shared" si="491"/>
        <v>17153.1814380754</v>
      </c>
      <c r="S550" s="4">
        <f t="shared" si="492"/>
        <v>1.57073802857167</v>
      </c>
      <c r="T550" s="4" t="str">
        <f t="shared" si="481"/>
        <v>1+205,838176907116i</v>
      </c>
      <c r="U550" s="4">
        <f t="shared" si="493"/>
        <v>205.840605985421</v>
      </c>
      <c r="V550" s="4">
        <f t="shared" si="494"/>
        <v>1.56593817974066</v>
      </c>
      <c r="W550" t="str">
        <f t="shared" si="482"/>
        <v>1-287,162635194079i</v>
      </c>
      <c r="X550" s="4">
        <f t="shared" si="495"/>
        <v>287.164376362403</v>
      </c>
      <c r="Y550" s="4">
        <f t="shared" si="496"/>
        <v>-1.56731399366647</v>
      </c>
      <c r="Z550" t="str">
        <f t="shared" si="483"/>
        <v>-34,6339454889935+76,6213538570324i</v>
      </c>
      <c r="AA550" s="4">
        <f t="shared" si="497"/>
        <v>84.0853259910381</v>
      </c>
      <c r="AB550" s="4">
        <f t="shared" si="498"/>
        <v>1.99532406001008</v>
      </c>
      <c r="AC550" s="67" t="str">
        <f t="shared" si="499"/>
        <v>-2,23933201418689+1,01576531218395i</v>
      </c>
      <c r="AD550" s="68">
        <f t="shared" si="500"/>
        <v>7.81495943637074</v>
      </c>
      <c r="AE550" s="31">
        <f t="shared" si="501"/>
        <v>155.600864511314</v>
      </c>
      <c r="AF550" s="32" t="str">
        <f t="shared" si="502"/>
        <v>326,048966736478</v>
      </c>
      <c r="AG550" s="32" t="str">
        <f t="shared" si="484"/>
        <v>1+11027,0451914526i</v>
      </c>
      <c r="AH550" s="32">
        <f t="shared" si="503"/>
        <v>11027.0452367957</v>
      </c>
      <c r="AI550" s="32">
        <f t="shared" si="504"/>
        <v>1.57070564067002</v>
      </c>
      <c r="AJ550" s="32" t="str">
        <f t="shared" si="485"/>
        <v>1+205,838176907116i</v>
      </c>
      <c r="AK550" s="32">
        <f t="shared" si="505"/>
        <v>205.840605985421</v>
      </c>
      <c r="AL550" s="32">
        <f t="shared" si="506"/>
        <v>1.56593817974066</v>
      </c>
      <c r="AM550" s="32" t="str">
        <f t="shared" si="486"/>
        <v>1-33,9704647675588i</v>
      </c>
      <c r="AN550" s="32">
        <f t="shared" si="507"/>
        <v>33.9851802485135</v>
      </c>
      <c r="AO550" s="32">
        <f t="shared" si="508"/>
        <v>-1.54136748898908</v>
      </c>
      <c r="AP550" s="30" t="str">
        <f t="shared" si="509"/>
        <v>5,10055692523932-206,781757725367i</v>
      </c>
      <c r="AQ550" s="32">
        <f t="shared" si="510"/>
        <v>46.3128860287559</v>
      </c>
      <c r="AR550" s="31">
        <f t="shared" si="511"/>
        <v>-88.5870071879975</v>
      </c>
      <c r="AS550" t="str">
        <f t="shared" si="487"/>
        <v>-0,000100699300699301</v>
      </c>
      <c r="AT550" t="str">
        <f t="shared" si="488"/>
        <v>2,94973458871357i</v>
      </c>
      <c r="AU550">
        <f t="shared" si="512"/>
        <v>2.94973458871357</v>
      </c>
      <c r="AV550">
        <f t="shared" si="513"/>
        <v>1.5707963267949</v>
      </c>
      <c r="AW550" t="str">
        <f t="shared" si="489"/>
        <v>1+151,021000592881i</v>
      </c>
      <c r="AX550">
        <f t="shared" si="514"/>
        <v>151.024311354414</v>
      </c>
      <c r="AY550">
        <f t="shared" si="515"/>
        <v>1.56417482792201</v>
      </c>
      <c r="AZ550" t="str">
        <f t="shared" si="490"/>
        <v>1+7220,08911345111i</v>
      </c>
      <c r="BA550">
        <f t="shared" si="516"/>
        <v>7220.08918270233</v>
      </c>
      <c r="BB550">
        <f t="shared" si="517"/>
        <v>1.57065782435014</v>
      </c>
      <c r="BC550" s="30" t="str">
        <f t="shared" si="518"/>
        <v>-0,0000105806403384062+0,00163203731842063i</v>
      </c>
      <c r="BD550" s="32">
        <f t="shared" si="519"/>
        <v>-55.7452157645007</v>
      </c>
      <c r="BE550" s="31">
        <f t="shared" si="520"/>
        <v>90.3714483339301</v>
      </c>
      <c r="BF550" s="30" t="str">
        <f t="shared" si="521"/>
        <v>-0,001634073329601-0,00366542086292349i</v>
      </c>
      <c r="BG550" s="68">
        <f t="shared" si="522"/>
        <v>-47.93025632813</v>
      </c>
      <c r="BH550" s="31">
        <f t="shared" si="523"/>
        <v>-114.027687154756</v>
      </c>
      <c r="BI550" s="30" t="str">
        <f t="shared" si="476"/>
        <v>0,337421578218061+0,0105121826537549i</v>
      </c>
      <c r="BJ550" s="68">
        <f t="shared" si="524"/>
        <v>-9.43232973574487</v>
      </c>
      <c r="BK550" s="31">
        <f t="shared" si="477"/>
        <v>1.78444114593255</v>
      </c>
      <c r="BL550" s="32">
        <f t="shared" si="525"/>
        <v>-47.93025632813</v>
      </c>
      <c r="BM550" s="31">
        <f t="shared" si="526"/>
        <v>-114.027687154756</v>
      </c>
      <c r="BO550">
        <f t="shared" si="527"/>
        <v>0</v>
      </c>
      <c r="BP550">
        <f t="shared" si="528"/>
        <v>0</v>
      </c>
    </row>
    <row r="551" spans="14:68">
      <c r="N551" s="7">
        <v>33</v>
      </c>
      <c r="O551" s="18">
        <f t="shared" si="478"/>
        <v>2137962.08950224</v>
      </c>
      <c r="P551" s="86" t="str">
        <f t="shared" si="479"/>
        <v>60</v>
      </c>
      <c r="Q551" s="4" t="str">
        <f t="shared" si="480"/>
        <v>1+17552,7303310747i</v>
      </c>
      <c r="R551" s="4">
        <f t="shared" si="491"/>
        <v>17552.7303595603</v>
      </c>
      <c r="S551" s="4">
        <f t="shared" si="492"/>
        <v>1.57073935560124</v>
      </c>
      <c r="T551" s="4" t="str">
        <f t="shared" si="481"/>
        <v>1+210,632763972897i</v>
      </c>
      <c r="U551" s="4">
        <f t="shared" si="493"/>
        <v>210.635137759259</v>
      </c>
      <c r="V551" s="4">
        <f t="shared" si="494"/>
        <v>1.5660487629876</v>
      </c>
      <c r="W551" t="str">
        <f t="shared" si="482"/>
        <v>1-293,851512238974i</v>
      </c>
      <c r="X551" s="4">
        <f t="shared" si="495"/>
        <v>293.8532137737</v>
      </c>
      <c r="Y551" s="4">
        <f t="shared" si="496"/>
        <v>-1.56739326062692</v>
      </c>
      <c r="Z551" t="str">
        <f t="shared" si="483"/>
        <v>-36,3133216012146+78,406094460965i</v>
      </c>
      <c r="AA551" s="4">
        <f t="shared" si="497"/>
        <v>86.4070192422757</v>
      </c>
      <c r="AB551" s="4">
        <f t="shared" si="498"/>
        <v>2.00452698235646</v>
      </c>
      <c r="AC551" s="67" t="str">
        <f t="shared" si="499"/>
        <v>-2,22054816345277+1,03190817838001i</v>
      </c>
      <c r="AD551" s="68">
        <f t="shared" si="500"/>
        <v>7.77837622500888</v>
      </c>
      <c r="AE551" s="31">
        <f t="shared" si="501"/>
        <v>155.075294159533</v>
      </c>
      <c r="AF551" s="32" t="str">
        <f t="shared" si="502"/>
        <v>326,048966736478</v>
      </c>
      <c r="AG551" s="32" t="str">
        <f t="shared" si="484"/>
        <v>1+11283,8980699766i</v>
      </c>
      <c r="AH551" s="32">
        <f t="shared" si="503"/>
        <v>11283.8981142875</v>
      </c>
      <c r="AI551" s="32">
        <f t="shared" si="504"/>
        <v>1.57070770493823</v>
      </c>
      <c r="AJ551" s="32" t="str">
        <f t="shared" si="485"/>
        <v>1+210,632763972897i</v>
      </c>
      <c r="AK551" s="32">
        <f t="shared" si="505"/>
        <v>210.635137759259</v>
      </c>
      <c r="AL551" s="32">
        <f t="shared" si="506"/>
        <v>1.5660487629876</v>
      </c>
      <c r="AM551" s="32" t="str">
        <f t="shared" si="486"/>
        <v>1-34,7617385411631i</v>
      </c>
      <c r="AN551" s="32">
        <f t="shared" si="507"/>
        <v>34.7761191970033</v>
      </c>
      <c r="AO551" s="32">
        <f t="shared" si="508"/>
        <v>-1.54203699751281</v>
      </c>
      <c r="AP551" s="30" t="str">
        <f t="shared" si="509"/>
        <v>5,10055680644353-211,596983132507i</v>
      </c>
      <c r="AQ551" s="32">
        <f t="shared" si="510"/>
        <v>46.512712179199</v>
      </c>
      <c r="AR551" s="31">
        <f t="shared" si="511"/>
        <v>-88.6191495212768</v>
      </c>
      <c r="AS551" t="str">
        <f t="shared" si="487"/>
        <v>-0,000100699300699301</v>
      </c>
      <c r="AT551" t="str">
        <f t="shared" si="488"/>
        <v>3,01844273371875i</v>
      </c>
      <c r="AU551">
        <f t="shared" si="512"/>
        <v>3.01844273371875</v>
      </c>
      <c r="AV551">
        <f t="shared" si="513"/>
        <v>1.5707963267949</v>
      </c>
      <c r="AW551" t="str">
        <f t="shared" si="489"/>
        <v>1+154,538731593922i</v>
      </c>
      <c r="AX551">
        <f t="shared" si="514"/>
        <v>154.541966994918</v>
      </c>
      <c r="AY551">
        <f t="shared" si="515"/>
        <v>1.56432554738153</v>
      </c>
      <c r="AZ551" t="str">
        <f t="shared" si="490"/>
        <v>1+7388,26659343706i</v>
      </c>
      <c r="BA551">
        <f t="shared" si="516"/>
        <v>7388.26666111193</v>
      </c>
      <c r="BB551">
        <f t="shared" si="517"/>
        <v>1.57066097705064</v>
      </c>
      <c r="BC551" s="30" t="str">
        <f t="shared" si="518"/>
        <v>-0,0000101044530175267+0,00159489069489567i</v>
      </c>
      <c r="BD551" s="32">
        <f t="shared" si="519"/>
        <v>-55.9452071983638</v>
      </c>
      <c r="BE551" s="31">
        <f t="shared" si="520"/>
        <v>90.3629933814422</v>
      </c>
      <c r="BF551" s="30" t="str">
        <f t="shared" si="521"/>
        <v>-0,00162334332709426-0,00355195847116533i</v>
      </c>
      <c r="BG551" s="68">
        <f t="shared" si="522"/>
        <v>-48.1668309733549</v>
      </c>
      <c r="BH551" s="31">
        <f t="shared" si="523"/>
        <v>-114.561712459025</v>
      </c>
      <c r="BI551" s="30" t="str">
        <f t="shared" si="476"/>
        <v>0,337422521129418+0,0102729023640964i</v>
      </c>
      <c r="BJ551" s="68">
        <f t="shared" si="524"/>
        <v>-9.43249501916479</v>
      </c>
      <c r="BK551" s="31">
        <f t="shared" si="477"/>
        <v>1.74384386016531</v>
      </c>
      <c r="BL551" s="32">
        <f t="shared" si="525"/>
        <v>-48.1668309733549</v>
      </c>
      <c r="BM551" s="31">
        <f t="shared" si="526"/>
        <v>-114.561712459025</v>
      </c>
      <c r="BO551">
        <f t="shared" si="527"/>
        <v>0</v>
      </c>
      <c r="BP551">
        <f t="shared" si="528"/>
        <v>0</v>
      </c>
    </row>
    <row r="552" spans="14:68">
      <c r="N552" s="7">
        <v>34</v>
      </c>
      <c r="O552" s="18">
        <f t="shared" si="478"/>
        <v>2187761.62394956</v>
      </c>
      <c r="P552" s="86" t="str">
        <f t="shared" si="479"/>
        <v>60</v>
      </c>
      <c r="Q552" s="4" t="str">
        <f t="shared" si="480"/>
        <v>1+17961,5859431826i</v>
      </c>
      <c r="R552" s="4">
        <f t="shared" si="491"/>
        <v>17961.5859710198</v>
      </c>
      <c r="S552" s="4">
        <f t="shared" si="492"/>
        <v>1.57074065242393</v>
      </c>
      <c r="T552" s="4" t="str">
        <f t="shared" si="481"/>
        <v>1+215,539031318192i</v>
      </c>
      <c r="U552" s="4">
        <f t="shared" si="493"/>
        <v>215.541351071168</v>
      </c>
      <c r="V552" s="4">
        <f t="shared" si="494"/>
        <v>1.56615682916472</v>
      </c>
      <c r="W552" t="str">
        <f t="shared" si="482"/>
        <v>1-300,696193245245i</v>
      </c>
      <c r="X552" s="4">
        <f t="shared" si="495"/>
        <v>300.697856048529</v>
      </c>
      <c r="Y552" s="4">
        <f t="shared" si="496"/>
        <v>-1.56747072329238</v>
      </c>
      <c r="Z552" t="str">
        <f t="shared" si="483"/>
        <v>-38,0718442712361+80,2324070140084i</v>
      </c>
      <c r="AA552" s="4">
        <f t="shared" si="497"/>
        <v>88.8071194301153</v>
      </c>
      <c r="AB552" s="4">
        <f t="shared" si="498"/>
        <v>2.01385257190253</v>
      </c>
      <c r="AC552" s="67" t="str">
        <f t="shared" si="499"/>
        <v>-2,20121284953295+1,04791376043406i</v>
      </c>
      <c r="AD552" s="68">
        <f t="shared" si="500"/>
        <v>7.74039436154535</v>
      </c>
      <c r="AE552" s="31">
        <f t="shared" si="501"/>
        <v>154.542656386661</v>
      </c>
      <c r="AF552" s="32" t="str">
        <f t="shared" si="502"/>
        <v>326,048966736478</v>
      </c>
      <c r="AG552" s="32" t="str">
        <f t="shared" si="484"/>
        <v>1+11546,7338206174i</v>
      </c>
      <c r="AH552" s="32">
        <f t="shared" si="503"/>
        <v>11546.7338639197</v>
      </c>
      <c r="AI552" s="32">
        <f t="shared" si="504"/>
        <v>1.57070972221796</v>
      </c>
      <c r="AJ552" s="32" t="str">
        <f t="shared" si="485"/>
        <v>1+215,539031318192i</v>
      </c>
      <c r="AK552" s="32">
        <f t="shared" si="505"/>
        <v>215.541351071168</v>
      </c>
      <c r="AL552" s="32">
        <f t="shared" si="506"/>
        <v>1.56615682916472</v>
      </c>
      <c r="AM552" s="32" t="str">
        <f t="shared" si="486"/>
        <v>1-35,571443448668i</v>
      </c>
      <c r="AN552" s="32">
        <f t="shared" si="507"/>
        <v>35.585496891596</v>
      </c>
      <c r="AO552" s="32">
        <f t="shared" si="508"/>
        <v>-1.54269129108278</v>
      </c>
      <c r="AP552" s="30" t="str">
        <f t="shared" si="509"/>
        <v>5,10055669299446-216,52440006092i</v>
      </c>
      <c r="AQ552" s="32">
        <f t="shared" si="510"/>
        <v>46.7125461479999</v>
      </c>
      <c r="AR552" s="31">
        <f t="shared" si="511"/>
        <v>-88.6505616271562</v>
      </c>
      <c r="AS552" t="str">
        <f t="shared" si="487"/>
        <v>-0,000100699300699301</v>
      </c>
      <c r="AT552" t="str">
        <f t="shared" si="488"/>
        <v>3,08875129701516i</v>
      </c>
      <c r="AU552">
        <f t="shared" si="512"/>
        <v>3.08875129701516</v>
      </c>
      <c r="AV552">
        <f t="shared" si="513"/>
        <v>1.5707963267949</v>
      </c>
      <c r="AW552" t="str">
        <f t="shared" si="489"/>
        <v>1+158,138401076017i</v>
      </c>
      <c r="AX552">
        <f t="shared" si="514"/>
        <v>158.141562831784</v>
      </c>
      <c r="AY552">
        <f t="shared" si="515"/>
        <v>1.56447283633138</v>
      </c>
      <c r="AZ552" t="str">
        <f t="shared" si="490"/>
        <v>1+7560,36143016615i</v>
      </c>
      <c r="BA552">
        <f t="shared" si="516"/>
        <v>7560.36149630055</v>
      </c>
      <c r="BB552">
        <f t="shared" si="517"/>
        <v>1.57066405798693</v>
      </c>
      <c r="BC552" s="30" t="str">
        <f t="shared" si="518"/>
        <v>-9,64969590218447E-06+0,00155858942609874i</v>
      </c>
      <c r="BD552" s="32">
        <f t="shared" si="519"/>
        <v>-56.1451990177507</v>
      </c>
      <c r="BE552" s="31">
        <f t="shared" si="520"/>
        <v>90.3547308708932</v>
      </c>
      <c r="BF552" s="30" t="str">
        <f t="shared" si="521"/>
        <v>-0,00161202627186192-0,00344089912099464i</v>
      </c>
      <c r="BG552" s="68">
        <f t="shared" si="522"/>
        <v>-48.4048046562054</v>
      </c>
      <c r="BH552" s="31">
        <f t="shared" si="523"/>
        <v>-115.102612742446</v>
      </c>
      <c r="BI552" s="30" t="str">
        <f t="shared" si="476"/>
        <v>0,337423421606304+0,0100390683449091i</v>
      </c>
      <c r="BJ552" s="68">
        <f t="shared" si="524"/>
        <v>-9.43265286975083</v>
      </c>
      <c r="BK552" s="31">
        <f t="shared" si="477"/>
        <v>1.70416924373699</v>
      </c>
      <c r="BL552" s="32">
        <f t="shared" si="525"/>
        <v>-48.4048046562054</v>
      </c>
      <c r="BM552" s="31">
        <f t="shared" si="526"/>
        <v>-115.102612742446</v>
      </c>
      <c r="BO552">
        <f t="shared" si="527"/>
        <v>0</v>
      </c>
      <c r="BP552">
        <f t="shared" si="528"/>
        <v>0</v>
      </c>
    </row>
    <row r="553" spans="14:68">
      <c r="N553" s="7">
        <v>35</v>
      </c>
      <c r="O553" s="18">
        <f t="shared" si="478"/>
        <v>2238721.13856834</v>
      </c>
      <c r="P553" s="86" t="str">
        <f t="shared" si="479"/>
        <v>60</v>
      </c>
      <c r="Q553" s="4" t="str">
        <f t="shared" si="480"/>
        <v>1+18379,9650259072i</v>
      </c>
      <c r="R553" s="4">
        <f t="shared" si="491"/>
        <v>18379.9650531107</v>
      </c>
      <c r="S553" s="4">
        <f t="shared" si="492"/>
        <v>1.57074191972733</v>
      </c>
      <c r="T553" s="4" t="str">
        <f t="shared" si="481"/>
        <v>1+220,559580310887i</v>
      </c>
      <c r="U553" s="4">
        <f t="shared" si="493"/>
        <v>220.561847260388</v>
      </c>
      <c r="V553" s="4">
        <f t="shared" si="494"/>
        <v>1.56626243556005</v>
      </c>
      <c r="W553" t="str">
        <f t="shared" si="482"/>
        <v>1-307,700307353357i</v>
      </c>
      <c r="X553" s="4">
        <f t="shared" si="495"/>
        <v>307.701932306819</v>
      </c>
      <c r="Y553" s="4">
        <f t="shared" si="496"/>
        <v>-1.56754642273086</v>
      </c>
      <c r="Z553" t="str">
        <f t="shared" si="483"/>
        <v>-39,91324356141+82,1012598512516i</v>
      </c>
      <c r="AA553" s="4">
        <f t="shared" si="497"/>
        <v>91.2890129246405</v>
      </c>
      <c r="AB553" s="4">
        <f t="shared" si="498"/>
        <v>2.02329987458654</v>
      </c>
      <c r="AC553" s="67" t="str">
        <f t="shared" si="499"/>
        <v>-2,1813229759175+1,06376060389328i</v>
      </c>
      <c r="AD553" s="68">
        <f t="shared" si="500"/>
        <v>7.7009734365084</v>
      </c>
      <c r="AE553" s="31">
        <f t="shared" si="501"/>
        <v>154.003006746353</v>
      </c>
      <c r="AF553" s="32" t="str">
        <f t="shared" si="502"/>
        <v>326,048966736478</v>
      </c>
      <c r="AG553" s="32" t="str">
        <f t="shared" si="484"/>
        <v>1+11815,6918023689i</v>
      </c>
      <c r="AH553" s="32">
        <f t="shared" si="503"/>
        <v>11815.6918446855</v>
      </c>
      <c r="AI553" s="32">
        <f t="shared" si="504"/>
        <v>1.5707116935788</v>
      </c>
      <c r="AJ553" s="32" t="str">
        <f t="shared" si="485"/>
        <v>1+220,559580310887i</v>
      </c>
      <c r="AK553" s="32">
        <f t="shared" si="505"/>
        <v>220.561847260388</v>
      </c>
      <c r="AL553" s="32">
        <f t="shared" si="506"/>
        <v>1.56626243556005</v>
      </c>
      <c r="AM553" s="32" t="str">
        <f t="shared" si="486"/>
        <v>1-36,400008806333i</v>
      </c>
      <c r="AN553" s="32">
        <f t="shared" si="507"/>
        <v>36.4137424758994</v>
      </c>
      <c r="AO553" s="32">
        <f t="shared" si="508"/>
        <v>-1.543330714372</v>
      </c>
      <c r="AP553" s="30" t="str">
        <f t="shared" si="509"/>
        <v>5,10055658465144-221,566621092284i</v>
      </c>
      <c r="AQ553" s="32">
        <f t="shared" si="510"/>
        <v>46.9123875838162</v>
      </c>
      <c r="AR553" s="31">
        <f t="shared" si="511"/>
        <v>-88.6812600328655</v>
      </c>
      <c r="AS553" t="str">
        <f t="shared" si="487"/>
        <v>-0,000100699300699301</v>
      </c>
      <c r="AT553" t="str">
        <f t="shared" si="488"/>
        <v>3,1606975571337i</v>
      </c>
      <c r="AU553">
        <f t="shared" si="512"/>
        <v>3.1606975571337</v>
      </c>
      <c r="AV553">
        <f t="shared" si="513"/>
        <v>1.5707963267949</v>
      </c>
      <c r="AW553" t="str">
        <f t="shared" si="489"/>
        <v>1+161,82191763157i</v>
      </c>
      <c r="AX553">
        <f t="shared" si="514"/>
        <v>161.82500741838</v>
      </c>
      <c r="AY553">
        <f t="shared" si="515"/>
        <v>1.56461677284052</v>
      </c>
      <c r="AZ553" t="str">
        <f t="shared" si="490"/>
        <v>1+7736,46487059869i</v>
      </c>
      <c r="BA553">
        <f t="shared" si="516"/>
        <v>7736.46493522769</v>
      </c>
      <c r="BB553">
        <f t="shared" si="517"/>
        <v>1.57066706879255</v>
      </c>
      <c r="BC553" s="30" t="str">
        <f t="shared" si="518"/>
        <v>-9,21540462860178E-06+0,00152311428313238i</v>
      </c>
      <c r="BD553" s="32">
        <f t="shared" si="519"/>
        <v>-56.3451912053114</v>
      </c>
      <c r="BE553" s="31">
        <f t="shared" si="520"/>
        <v>90.3466564228563</v>
      </c>
      <c r="BF553" s="30" t="str">
        <f t="shared" si="521"/>
        <v>-0,00160012719577464-0,00333220716513761i</v>
      </c>
      <c r="BG553" s="68">
        <f t="shared" si="522"/>
        <v>-48.644217768803</v>
      </c>
      <c r="BH553" s="31">
        <f t="shared" si="523"/>
        <v>-115.650336830791</v>
      </c>
      <c r="BI553" s="30" t="str">
        <f t="shared" si="476"/>
        <v>0,337424281558279+0,00981055665156501i</v>
      </c>
      <c r="BJ553" s="68">
        <f t="shared" si="524"/>
        <v>-9.43280362149519</v>
      </c>
      <c r="BK553" s="31">
        <f t="shared" si="477"/>
        <v>1.66539638999077</v>
      </c>
      <c r="BL553" s="32">
        <f t="shared" si="525"/>
        <v>-48.644217768803</v>
      </c>
      <c r="BM553" s="31">
        <f t="shared" si="526"/>
        <v>-115.650336830791</v>
      </c>
      <c r="BO553">
        <f t="shared" si="527"/>
        <v>0</v>
      </c>
      <c r="BP553">
        <f t="shared" si="528"/>
        <v>0</v>
      </c>
    </row>
    <row r="554" spans="14:68">
      <c r="N554" s="7">
        <v>36</v>
      </c>
      <c r="O554" s="18">
        <f t="shared" si="478"/>
        <v>2290867.65276778</v>
      </c>
      <c r="P554" s="86" t="str">
        <f t="shared" si="479"/>
        <v>60</v>
      </c>
      <c r="Q554" s="4" t="str">
        <f t="shared" si="480"/>
        <v>1+18808,0894093763i</v>
      </c>
      <c r="R554" s="4">
        <f t="shared" si="491"/>
        <v>18808.0894359606</v>
      </c>
      <c r="S554" s="4">
        <f t="shared" si="492"/>
        <v>1.57074315818339</v>
      </c>
      <c r="T554" s="4" t="str">
        <f t="shared" si="481"/>
        <v>1+225,697072912516i</v>
      </c>
      <c r="U554" s="4">
        <f t="shared" si="493"/>
        <v>225.699288260459</v>
      </c>
      <c r="V554" s="4">
        <f t="shared" si="494"/>
        <v>1.56636563815804</v>
      </c>
      <c r="W554" t="str">
        <f t="shared" si="482"/>
        <v>1-314,867568237327i</v>
      </c>
      <c r="X554" s="4">
        <f t="shared" si="495"/>
        <v>314.869156202521</v>
      </c>
      <c r="Y554" s="4">
        <f t="shared" si="496"/>
        <v>-1.56762039907575</v>
      </c>
      <c r="Z554" t="str">
        <f t="shared" si="483"/>
        <v>-41,8414253265126+84,0136438632075i</v>
      </c>
      <c r="AA554" s="4">
        <f t="shared" si="497"/>
        <v>93.85625833437</v>
      </c>
      <c r="AB554" s="4">
        <f t="shared" si="498"/>
        <v>2.03286774594143</v>
      </c>
      <c r="AC554" s="67" t="str">
        <f t="shared" si="499"/>
        <v>-2,16087647039937+1,07942660084584i</v>
      </c>
      <c r="AD554" s="68">
        <f t="shared" si="500"/>
        <v>7.6600728458017</v>
      </c>
      <c r="AE554" s="31">
        <f t="shared" si="501"/>
        <v>153.456411681443</v>
      </c>
      <c r="AF554" s="32" t="str">
        <f t="shared" si="502"/>
        <v>326,048966736478</v>
      </c>
      <c r="AG554" s="32" t="str">
        <f t="shared" si="484"/>
        <v>1+12090,9146203133i</v>
      </c>
      <c r="AH554" s="32">
        <f t="shared" si="503"/>
        <v>12090.9146616667</v>
      </c>
      <c r="AI554" s="32">
        <f t="shared" si="504"/>
        <v>1.57071362006599</v>
      </c>
      <c r="AJ554" s="32" t="str">
        <f t="shared" si="485"/>
        <v>1+225,697072912516i</v>
      </c>
      <c r="AK554" s="32">
        <f t="shared" si="505"/>
        <v>225.699288260459</v>
      </c>
      <c r="AL554" s="32">
        <f t="shared" si="506"/>
        <v>1.56636563815804</v>
      </c>
      <c r="AM554" s="32" t="str">
        <f t="shared" si="486"/>
        <v>1-37,2478739304785i</v>
      </c>
      <c r="AN554" s="32">
        <f t="shared" si="507"/>
        <v>37.261295097471</v>
      </c>
      <c r="AO554" s="32">
        <f t="shared" si="508"/>
        <v>-1.54395560431848</v>
      </c>
      <c r="AP554" s="30" t="str">
        <f t="shared" si="509"/>
        <v>5,10055648118465-226,726319678932i</v>
      </c>
      <c r="AQ554" s="32">
        <f t="shared" si="510"/>
        <v>47.112236151071</v>
      </c>
      <c r="AR554" s="31">
        <f t="shared" si="511"/>
        <v>-88.7112608957438</v>
      </c>
      <c r="AS554" t="str">
        <f t="shared" si="487"/>
        <v>-0,000100699300699301</v>
      </c>
      <c r="AT554" t="str">
        <f t="shared" si="488"/>
        <v>3,23431966093382i</v>
      </c>
      <c r="AU554">
        <f t="shared" si="512"/>
        <v>3.23431966093382</v>
      </c>
      <c r="AV554">
        <f t="shared" si="513"/>
        <v>1.5707963267949</v>
      </c>
      <c r="AW554" t="str">
        <f t="shared" si="489"/>
        <v>1+165,59123430982i</v>
      </c>
      <c r="AX554">
        <f t="shared" si="514"/>
        <v>165.594253765793</v>
      </c>
      <c r="AY554">
        <f t="shared" si="515"/>
        <v>1.56475743320213</v>
      </c>
      <c r="AZ554" t="str">
        <f t="shared" si="490"/>
        <v>1+7916,67028710992i</v>
      </c>
      <c r="BA554">
        <f t="shared" si="516"/>
        <v>7916.67035026778</v>
      </c>
      <c r="BB554">
        <f t="shared" si="517"/>
        <v>1.57067001106386</v>
      </c>
      <c r="BC554" s="30" t="str">
        <f t="shared" si="518"/>
        <v>-0,0000088006582229397+0,00148844647388624i</v>
      </c>
      <c r="BD554" s="32">
        <f t="shared" si="519"/>
        <v>-56.5451837444768</v>
      </c>
      <c r="BE554" s="31">
        <f t="shared" si="520"/>
        <v>90.3387657575197</v>
      </c>
      <c r="BF554" s="30" t="str">
        <f t="shared" si="521"/>
        <v>-0,00158765158257002-0,00322584862746048i</v>
      </c>
      <c r="BG554" s="68">
        <f t="shared" si="522"/>
        <v>-48.8851108986751</v>
      </c>
      <c r="BH554" s="31">
        <f t="shared" si="523"/>
        <v>-116.204822561037</v>
      </c>
      <c r="BI554" s="30" t="str">
        <f t="shared" si="476"/>
        <v>0,337425102808973+0,00958724615891615i</v>
      </c>
      <c r="BJ554" s="68">
        <f t="shared" si="524"/>
        <v>-9.43294759340576</v>
      </c>
      <c r="BK554" s="31">
        <f t="shared" si="477"/>
        <v>1.62750486177583</v>
      </c>
      <c r="BL554" s="32">
        <f t="shared" si="525"/>
        <v>-48.8851108986751</v>
      </c>
      <c r="BM554" s="31">
        <f t="shared" si="526"/>
        <v>-116.204822561037</v>
      </c>
      <c r="BO554">
        <f t="shared" si="527"/>
        <v>0</v>
      </c>
      <c r="BP554">
        <f t="shared" si="528"/>
        <v>0</v>
      </c>
    </row>
    <row r="555" spans="14:68">
      <c r="N555" s="7">
        <v>37</v>
      </c>
      <c r="O555" s="18">
        <f t="shared" si="478"/>
        <v>2344228.81531993</v>
      </c>
      <c r="P555" s="86" t="str">
        <f t="shared" si="479"/>
        <v>60</v>
      </c>
      <c r="Q555" s="4" t="str">
        <f t="shared" si="480"/>
        <v>1+19246,1860908047i</v>
      </c>
      <c r="R555" s="4">
        <f t="shared" si="491"/>
        <v>19246.1861167839</v>
      </c>
      <c r="S555" s="4">
        <f t="shared" si="492"/>
        <v>1.57074436844874</v>
      </c>
      <c r="T555" s="4" t="str">
        <f t="shared" si="481"/>
        <v>1+230,954233089656i</v>
      </c>
      <c r="U555" s="4">
        <f t="shared" si="493"/>
        <v>230.956398010601</v>
      </c>
      <c r="V555" s="4">
        <f t="shared" si="494"/>
        <v>1.56646649166931</v>
      </c>
      <c r="W555" t="str">
        <f t="shared" si="482"/>
        <v>1-322,201776073739i</v>
      </c>
      <c r="X555" s="4">
        <f t="shared" si="495"/>
        <v>322.203327892609</v>
      </c>
      <c r="Y555" s="4">
        <f t="shared" si="496"/>
        <v>-1.56769269154703</v>
      </c>
      <c r="Z555" t="str">
        <f t="shared" si="483"/>
        <v>-43,8604794985822+85,9705730211913i</v>
      </c>
      <c r="AA555" s="4">
        <f t="shared" si="497"/>
        <v>96.5125954859651</v>
      </c>
      <c r="AB555" s="4">
        <f t="shared" si="498"/>
        <v>2.04255484593034</v>
      </c>
      <c r="AC555" s="67" t="str">
        <f t="shared" si="499"/>
        <v>-2,13987235142475+1,09488903752702i</v>
      </c>
      <c r="AD555" s="68">
        <f t="shared" si="500"/>
        <v>7.6176518684</v>
      </c>
      <c r="AE555" s="31">
        <f t="shared" si="501"/>
        <v>152.90294882031</v>
      </c>
      <c r="AF555" s="32" t="str">
        <f t="shared" si="502"/>
        <v>326,048966736478</v>
      </c>
      <c r="AG555" s="32" t="str">
        <f t="shared" si="484"/>
        <v>1+12372,5482012316i</v>
      </c>
      <c r="AH555" s="32">
        <f t="shared" si="503"/>
        <v>12372.5482416436</v>
      </c>
      <c r="AI555" s="32">
        <f t="shared" si="504"/>
        <v>1.57071550270098</v>
      </c>
      <c r="AJ555" s="32" t="str">
        <f t="shared" si="485"/>
        <v>1+230,954233089656i</v>
      </c>
      <c r="AK555" s="32">
        <f t="shared" si="505"/>
        <v>230.956398010601</v>
      </c>
      <c r="AL555" s="32">
        <f t="shared" si="506"/>
        <v>1.56646649166931</v>
      </c>
      <c r="AM555" s="32" t="str">
        <f t="shared" si="486"/>
        <v>1-38,1154883704157i</v>
      </c>
      <c r="AN555" s="32">
        <f t="shared" si="507"/>
        <v>38.1286041406618</v>
      </c>
      <c r="AO555" s="32">
        <f t="shared" si="508"/>
        <v>-1.54456629029392</v>
      </c>
      <c r="AP555" s="30" t="str">
        <f t="shared" si="509"/>
        <v>5,10055638237459-232,00623156135i</v>
      </c>
      <c r="AQ555" s="32">
        <f t="shared" si="510"/>
        <v>47.3120915292473</v>
      </c>
      <c r="AR555" s="31">
        <f t="shared" si="511"/>
        <v>-88.7405800112392</v>
      </c>
      <c r="AS555" t="str">
        <f t="shared" si="487"/>
        <v>-0,000100699300699301</v>
      </c>
      <c r="AT555" t="str">
        <f t="shared" si="488"/>
        <v>3,30965664382944i</v>
      </c>
      <c r="AU555">
        <f t="shared" si="512"/>
        <v>3.30965664382944</v>
      </c>
      <c r="AV555">
        <f t="shared" si="513"/>
        <v>1.5707963267949</v>
      </c>
      <c r="AW555" t="str">
        <f t="shared" si="489"/>
        <v>1+169,44834965236i</v>
      </c>
      <c r="AX555">
        <f t="shared" si="514"/>
        <v>169.451300378334</v>
      </c>
      <c r="AY555">
        <f t="shared" si="515"/>
        <v>1.56489489197392</v>
      </c>
      <c r="AZ555" t="str">
        <f t="shared" si="490"/>
        <v>1+8101,07322699685i</v>
      </c>
      <c r="BA555">
        <f t="shared" si="516"/>
        <v>8101.07328871707</v>
      </c>
      <c r="BB555">
        <f t="shared" si="517"/>
        <v>1.57067288636091</v>
      </c>
      <c r="BC555" s="30" t="str">
        <f t="shared" si="518"/>
        <v>-0,0000084045771496252+0,00145456763315583i</v>
      </c>
      <c r="BD555" s="32">
        <f t="shared" si="519"/>
        <v>-56.7451766194231</v>
      </c>
      <c r="BE555" s="31">
        <f t="shared" si="520"/>
        <v>90.3310546924246</v>
      </c>
      <c r="BF555" s="30" t="str">
        <f t="shared" si="521"/>
        <v>-0,00157460543361604-0,00312179114085367i</v>
      </c>
      <c r="BG555" s="68">
        <f t="shared" si="522"/>
        <v>-49.1275247510231</v>
      </c>
      <c r="BH555" s="31">
        <f t="shared" si="523"/>
        <v>-116.765996487265</v>
      </c>
      <c r="BI555" s="30" t="str">
        <f t="shared" si="476"/>
        <v>0,337425887099975+0,00936901849723965i</v>
      </c>
      <c r="BJ555" s="68">
        <f t="shared" si="524"/>
        <v>-9.43308509017574</v>
      </c>
      <c r="BK555" s="31">
        <f t="shared" si="477"/>
        <v>1.59047468118537</v>
      </c>
      <c r="BL555" s="32">
        <f t="shared" si="525"/>
        <v>-49.1275247510231</v>
      </c>
      <c r="BM555" s="31">
        <f t="shared" si="526"/>
        <v>-116.765996487265</v>
      </c>
      <c r="BO555">
        <f t="shared" si="527"/>
        <v>0</v>
      </c>
      <c r="BP555">
        <f t="shared" si="528"/>
        <v>0</v>
      </c>
    </row>
    <row r="556" spans="14:68">
      <c r="N556" s="7">
        <v>38</v>
      </c>
      <c r="O556" s="18">
        <f t="shared" si="478"/>
        <v>2398832.91901949</v>
      </c>
      <c r="P556" s="86" t="str">
        <f t="shared" si="479"/>
        <v>60</v>
      </c>
      <c r="Q556" s="4" t="str">
        <f t="shared" si="480"/>
        <v>1+19694,4873548517i</v>
      </c>
      <c r="R556" s="4">
        <f t="shared" si="491"/>
        <v>19694.4873802395</v>
      </c>
      <c r="S556" s="4">
        <f t="shared" si="492"/>
        <v>1.57074555116509</v>
      </c>
      <c r="T556" s="4" t="str">
        <f t="shared" si="481"/>
        <v>1+236,33384825822i</v>
      </c>
      <c r="U556" s="4">
        <f t="shared" si="493"/>
        <v>236.335963899994</v>
      </c>
      <c r="V556" s="4">
        <f t="shared" si="494"/>
        <v>1.56656504955949</v>
      </c>
      <c r="W556" t="str">
        <f t="shared" si="482"/>
        <v>1-329,706819556669i</v>
      </c>
      <c r="X556" s="4">
        <f t="shared" si="495"/>
        <v>329.708336051993</v>
      </c>
      <c r="Y556" s="4">
        <f t="shared" si="496"/>
        <v>-1.56776333847211</v>
      </c>
      <c r="Z556" t="str">
        <f t="shared" si="483"/>
        <v>-45,9746887622172+87,9730849149457i</v>
      </c>
      <c r="AA556" s="4">
        <f t="shared" si="497"/>
        <v>99.2619548277939</v>
      </c>
      <c r="AB556" s="4">
        <f t="shared" si="498"/>
        <v>2.05235963420765</v>
      </c>
      <c r="AC556" s="67" t="str">
        <f t="shared" si="499"/>
        <v>-2,11831079281693+1,11012464840488i</v>
      </c>
      <c r="AD556" s="68">
        <f t="shared" si="500"/>
        <v>7.57366974884047</v>
      </c>
      <c r="AE556" s="31">
        <f t="shared" si="501"/>
        <v>152.342707248848</v>
      </c>
      <c r="AF556" s="32" t="str">
        <f t="shared" si="502"/>
        <v>326,048966736478</v>
      </c>
      <c r="AG556" s="32" t="str">
        <f t="shared" si="484"/>
        <v>1+12660,7418709761i</v>
      </c>
      <c r="AH556" s="32">
        <f t="shared" si="503"/>
        <v>12660.7419104683</v>
      </c>
      <c r="AI556" s="32">
        <f t="shared" si="504"/>
        <v>1.57071734248196</v>
      </c>
      <c r="AJ556" s="32" t="str">
        <f t="shared" si="485"/>
        <v>1+236,33384825822i</v>
      </c>
      <c r="AK556" s="32">
        <f t="shared" si="505"/>
        <v>236.335963899994</v>
      </c>
      <c r="AL556" s="32">
        <f t="shared" si="506"/>
        <v>1.56656504955949</v>
      </c>
      <c r="AM556" s="32" t="str">
        <f t="shared" si="486"/>
        <v>1-39,0033121468048i</v>
      </c>
      <c r="AN556" s="32">
        <f t="shared" si="507"/>
        <v>39.0161294648904</v>
      </c>
      <c r="AO556" s="32">
        <f t="shared" si="508"/>
        <v>-1.5451630942691</v>
      </c>
      <c r="AP556" s="30" t="str">
        <f t="shared" si="509"/>
        <v>5,10055628801176-237,409156218705i</v>
      </c>
      <c r="AQ556" s="32">
        <f t="shared" si="510"/>
        <v>47.5119534122141</v>
      </c>
      <c r="AR556" s="31">
        <f t="shared" si="511"/>
        <v>-88.7692328207537</v>
      </c>
      <c r="AS556" t="str">
        <f t="shared" si="487"/>
        <v>-0,000100699300699301</v>
      </c>
      <c r="AT556" t="str">
        <f t="shared" si="488"/>
        <v>3,3867484504861i</v>
      </c>
      <c r="AU556">
        <f t="shared" si="512"/>
        <v>3.3867484504861</v>
      </c>
      <c r="AV556">
        <f t="shared" si="513"/>
        <v>1.5707963267949</v>
      </c>
      <c r="AW556" t="str">
        <f t="shared" si="489"/>
        <v>1+173,395308752798i</v>
      </c>
      <c r="AX556">
        <f t="shared" si="514"/>
        <v>173.398192313179</v>
      </c>
      <c r="AY556">
        <f t="shared" si="515"/>
        <v>1.56502922201756</v>
      </c>
      <c r="AZ556" t="str">
        <f t="shared" si="490"/>
        <v>1+8289,77146313909i</v>
      </c>
      <c r="BA556">
        <f t="shared" si="516"/>
        <v>8289.77152345438</v>
      </c>
      <c r="BB556">
        <f t="shared" si="517"/>
        <v>1.5706756962082</v>
      </c>
      <c r="BC556" s="30" t="str">
        <f t="shared" si="518"/>
        <v>-8,02632144741085E-06+0,00142145981298193i</v>
      </c>
      <c r="BD556" s="32">
        <f t="shared" si="519"/>
        <v>-56.9451698150386</v>
      </c>
      <c r="BE556" s="31">
        <f t="shared" si="520"/>
        <v>90.3235191402535</v>
      </c>
      <c r="BF556" s="30" t="str">
        <f t="shared" si="521"/>
        <v>-0,00156099533175956-0,00302000388066995i</v>
      </c>
      <c r="BG556" s="68">
        <f t="shared" si="522"/>
        <v>-49.3715000661981</v>
      </c>
      <c r="BH556" s="31">
        <f t="shared" si="523"/>
        <v>-117.333773610899</v>
      </c>
      <c r="BI556" s="30" t="str">
        <f t="shared" si="476"/>
        <v>0,33742663609451+0,00915575798963091i</v>
      </c>
      <c r="BJ556" s="68">
        <f t="shared" si="524"/>
        <v>-9.43321640282446</v>
      </c>
      <c r="BK556" s="31">
        <f t="shared" si="477"/>
        <v>1.55428631949983</v>
      </c>
      <c r="BL556" s="32">
        <f t="shared" si="525"/>
        <v>-49.3715000661981</v>
      </c>
      <c r="BM556" s="31">
        <f t="shared" si="526"/>
        <v>-117.333773610899</v>
      </c>
      <c r="BO556">
        <f t="shared" si="527"/>
        <v>0</v>
      </c>
      <c r="BP556">
        <f t="shared" si="528"/>
        <v>0</v>
      </c>
    </row>
    <row r="557" spans="14:68">
      <c r="N557" s="7">
        <v>39</v>
      </c>
      <c r="O557" s="18">
        <f t="shared" si="478"/>
        <v>2454708.91568503</v>
      </c>
      <c r="P557" s="86" t="str">
        <f t="shared" si="479"/>
        <v>60</v>
      </c>
      <c r="Q557" s="4" t="str">
        <f t="shared" si="480"/>
        <v>1+20153,2308967816i</v>
      </c>
      <c r="R557" s="4">
        <f t="shared" si="491"/>
        <v>20153.2309215915</v>
      </c>
      <c r="S557" s="4">
        <f t="shared" si="492"/>
        <v>1.57074670695953</v>
      </c>
      <c r="T557" s="4" t="str">
        <f t="shared" si="481"/>
        <v>1+241,838770761379i</v>
      </c>
      <c r="U557" s="4">
        <f t="shared" si="493"/>
        <v>241.840838245683</v>
      </c>
      <c r="V557" s="4">
        <f t="shared" si="494"/>
        <v>1.56666136407763</v>
      </c>
      <c r="W557" t="str">
        <f t="shared" si="482"/>
        <v>1-337,386677959514i</v>
      </c>
      <c r="X557" s="4">
        <f t="shared" si="495"/>
        <v>337.388159935343</v>
      </c>
      <c r="Y557" s="4">
        <f t="shared" si="496"/>
        <v>-1.5678323773061</v>
      </c>
      <c r="Z557" t="str">
        <f t="shared" si="483"/>
        <v>-48,1885376387232+90,0222413027835i</v>
      </c>
      <c r="AA557" s="4">
        <f t="shared" si="497"/>
        <v>102.10846727346</v>
      </c>
      <c r="AB557" s="4">
        <f t="shared" si="498"/>
        <v>2.06228036586045</v>
      </c>
      <c r="AC557" s="67" t="str">
        <f t="shared" si="499"/>
        <v>-2,0961931862376+1,12510967682163i</v>
      </c>
      <c r="AD557" s="68">
        <f t="shared" si="500"/>
        <v>7.52808578436689</v>
      </c>
      <c r="AE557" s="31">
        <f t="shared" si="501"/>
        <v>151.775787754902</v>
      </c>
      <c r="AF557" s="32" t="str">
        <f t="shared" si="502"/>
        <v>326,048966736478</v>
      </c>
      <c r="AG557" s="32" t="str">
        <f t="shared" si="484"/>
        <v>1+12955,6484336453i</v>
      </c>
      <c r="AH557" s="32">
        <f t="shared" si="503"/>
        <v>12955.6484722385</v>
      </c>
      <c r="AI557" s="32">
        <f t="shared" si="504"/>
        <v>1.57071914038442</v>
      </c>
      <c r="AJ557" s="32" t="str">
        <f t="shared" si="485"/>
        <v>1+241,838770761379i</v>
      </c>
      <c r="AK557" s="32">
        <f t="shared" si="505"/>
        <v>241.840838245683</v>
      </c>
      <c r="AL557" s="32">
        <f t="shared" si="506"/>
        <v>1.56666136407763</v>
      </c>
      <c r="AM557" s="32" t="str">
        <f t="shared" si="486"/>
        <v>1-39,9118159955641i</v>
      </c>
      <c r="AN557" s="32">
        <f t="shared" si="507"/>
        <v>39.9243416484701</v>
      </c>
      <c r="AO557" s="32">
        <f t="shared" si="508"/>
        <v>-1.54574633097586</v>
      </c>
      <c r="AP557" s="30" t="str">
        <f t="shared" si="509"/>
        <v>5,10055619789596-242,93795835317i</v>
      </c>
      <c r="AQ557" s="32">
        <f t="shared" si="510"/>
        <v>47.7118215075827</v>
      </c>
      <c r="AR557" s="31">
        <f t="shared" si="511"/>
        <v>-88.7972344193359</v>
      </c>
      <c r="AS557" t="str">
        <f t="shared" si="487"/>
        <v>-0,000100699300699301</v>
      </c>
      <c r="AT557" t="str">
        <f t="shared" si="488"/>
        <v>3,46563595600013i</v>
      </c>
      <c r="AU557">
        <f t="shared" si="512"/>
        <v>3.46563595600013</v>
      </c>
      <c r="AV557">
        <f t="shared" si="513"/>
        <v>1.5707963267949</v>
      </c>
      <c r="AW557" t="str">
        <f t="shared" si="489"/>
        <v>1+177,434204341096i</v>
      </c>
      <c r="AX557">
        <f t="shared" si="514"/>
        <v>177.437022264684</v>
      </c>
      <c r="AY557">
        <f t="shared" si="515"/>
        <v>1.56516049453721</v>
      </c>
      <c r="AZ557" t="str">
        <f t="shared" si="490"/>
        <v>1+8482,86504583919i</v>
      </c>
      <c r="BA557">
        <f t="shared" si="516"/>
        <v>8482.86510478154</v>
      </c>
      <c r="BB557">
        <f t="shared" si="517"/>
        <v>1.57067844209557</v>
      </c>
      <c r="BC557" s="30" t="str">
        <f t="shared" si="518"/>
        <v>-7,66508894923038E-06+0,00138910547320615i</v>
      </c>
      <c r="BD557" s="32">
        <f t="shared" si="519"/>
        <v>-57.1451633168919</v>
      </c>
      <c r="BE557" s="31">
        <f t="shared" si="520"/>
        <v>90.3161551066685</v>
      </c>
      <c r="BF557" s="30" t="str">
        <f t="shared" si="521"/>
        <v>-0,00154682850280285-0,00292045749365057i</v>
      </c>
      <c r="BG557" s="68">
        <f t="shared" si="522"/>
        <v>-49.617077532525</v>
      </c>
      <c r="BH557" s="31">
        <f t="shared" si="523"/>
        <v>-117.908057138429</v>
      </c>
      <c r="BI557" s="30" t="str">
        <f t="shared" si="476"/>
        <v>0,337427351380969+0,0089473515908143i</v>
      </c>
      <c r="BJ557" s="68">
        <f t="shared" si="524"/>
        <v>-9.43334180930918</v>
      </c>
      <c r="BK557" s="31">
        <f t="shared" si="477"/>
        <v>1.51892068733255</v>
      </c>
      <c r="BL557" s="32">
        <f t="shared" si="525"/>
        <v>-49.617077532525</v>
      </c>
      <c r="BM557" s="31">
        <f t="shared" si="526"/>
        <v>-117.908057138429</v>
      </c>
      <c r="BO557">
        <f t="shared" si="527"/>
        <v>0</v>
      </c>
      <c r="BP557">
        <f t="shared" si="528"/>
        <v>0</v>
      </c>
    </row>
    <row r="558" spans="14:68">
      <c r="N558" s="7">
        <v>40</v>
      </c>
      <c r="O558" s="18">
        <f t="shared" si="478"/>
        <v>2511886.43150959</v>
      </c>
      <c r="P558" s="86" t="str">
        <f t="shared" si="479"/>
        <v>60</v>
      </c>
      <c r="Q558" s="4" t="str">
        <f t="shared" si="480"/>
        <v>1+20622,6599484927i</v>
      </c>
      <c r="R558" s="4">
        <f t="shared" si="491"/>
        <v>20622.6599727379</v>
      </c>
      <c r="S558" s="4">
        <f t="shared" si="492"/>
        <v>1.57074783644488</v>
      </c>
      <c r="T558" s="4" t="str">
        <f t="shared" si="481"/>
        <v>1+247,471919381912i</v>
      </c>
      <c r="U558" s="4">
        <f t="shared" si="493"/>
        <v>247.473939804917</v>
      </c>
      <c r="V558" s="4">
        <f t="shared" si="494"/>
        <v>1.5667554862838</v>
      </c>
      <c r="W558" t="str">
        <f t="shared" si="482"/>
        <v>1-345,245423244855i</v>
      </c>
      <c r="X558" s="4">
        <f t="shared" si="495"/>
        <v>345.246871486939</v>
      </c>
      <c r="Y558" s="4">
        <f t="shared" si="496"/>
        <v>-1.56789984465166</v>
      </c>
      <c r="Z558" t="str">
        <f t="shared" si="483"/>
        <v>-50,5067219983836+92,1191286745457i</v>
      </c>
      <c r="AA558" s="4">
        <f t="shared" si="497"/>
        <v>105.056474501953</v>
      </c>
      <c r="AB558" s="4">
        <f t="shared" si="498"/>
        <v>2.07231508768591</v>
      </c>
      <c r="AC558" s="67" t="str">
        <f t="shared" si="499"/>
        <v>-2,073522200718+1,13981994220404i</v>
      </c>
      <c r="AD558" s="68">
        <f t="shared" si="500"/>
        <v>7.48085941653719</v>
      </c>
      <c r="AE558" s="31">
        <f t="shared" si="501"/>
        <v>151.202303041988</v>
      </c>
      <c r="AF558" s="32" t="str">
        <f t="shared" si="502"/>
        <v>326,048966736478</v>
      </c>
      <c r="AG558" s="32" t="str">
        <f t="shared" si="484"/>
        <v>1+13257,4242526024i</v>
      </c>
      <c r="AH558" s="32">
        <f t="shared" si="503"/>
        <v>13257.4242903171</v>
      </c>
      <c r="AI558" s="32">
        <f t="shared" si="504"/>
        <v>1.57072089736162</v>
      </c>
      <c r="AJ558" s="32" t="str">
        <f t="shared" si="485"/>
        <v>1+247,471919381912i</v>
      </c>
      <c r="AK558" s="32">
        <f t="shared" si="505"/>
        <v>247.473939804917</v>
      </c>
      <c r="AL558" s="32">
        <f t="shared" si="506"/>
        <v>1.5667554862838</v>
      </c>
      <c r="AM558" s="32" t="str">
        <f t="shared" si="486"/>
        <v>1-40,8414816174598i</v>
      </c>
      <c r="AN558" s="32">
        <f t="shared" si="507"/>
        <v>40.8537222381181</v>
      </c>
      <c r="AO558" s="32">
        <f t="shared" si="508"/>
        <v>-1.54631630806595</v>
      </c>
      <c r="AP558" s="30" t="str">
        <f t="shared" si="509"/>
        <v>5,10055611183605-248,595569408818i</v>
      </c>
      <c r="AQ558" s="32">
        <f t="shared" si="510"/>
        <v>47.9116955360909</v>
      </c>
      <c r="AR558" s="31">
        <f t="shared" si="511"/>
        <v>-88.8245995632235</v>
      </c>
      <c r="AS558" t="str">
        <f t="shared" si="487"/>
        <v>-0,000100699300699301</v>
      </c>
      <c r="AT558" t="str">
        <f t="shared" si="488"/>
        <v>3,54636098757115i</v>
      </c>
      <c r="AU558">
        <f t="shared" si="512"/>
        <v>3.54636098757115</v>
      </c>
      <c r="AV558">
        <f t="shared" si="513"/>
        <v>1.5707963267949</v>
      </c>
      <c r="AW558" t="str">
        <f t="shared" si="489"/>
        <v>1+181,567177893155i</v>
      </c>
      <c r="AX558">
        <f t="shared" si="514"/>
        <v>181.569931673955</v>
      </c>
      <c r="AY558">
        <f t="shared" si="515"/>
        <v>1.56528877911719</v>
      </c>
      <c r="AZ558" t="str">
        <f t="shared" si="490"/>
        <v>1+8680,45635587063i</v>
      </c>
      <c r="BA558">
        <f t="shared" si="516"/>
        <v>8680.45641347129</v>
      </c>
      <c r="BB558">
        <f t="shared" si="517"/>
        <v>1.57068112547891</v>
      </c>
      <c r="BC558" s="30" t="str">
        <f t="shared" si="518"/>
        <v>-7,32011358208737E-06+0,00135748747223798i</v>
      </c>
      <c r="BD558" s="32">
        <f t="shared" si="519"/>
        <v>-57.345157111201</v>
      </c>
      <c r="BE558" s="31">
        <f t="shared" si="520"/>
        <v>90.3089586881989</v>
      </c>
      <c r="BF558" s="30" t="str">
        <f t="shared" si="521"/>
        <v>-0,00153211287412477-0,00282312402232207i</v>
      </c>
      <c r="BG558" s="68">
        <f t="shared" si="522"/>
        <v>-49.8642976946638</v>
      </c>
      <c r="BH558" s="31">
        <f t="shared" si="523"/>
        <v>-118.488738269813</v>
      </c>
      <c r="BI558" s="30" t="str">
        <f t="shared" si="476"/>
        <v>0,337428034476267+0,00874368882734053i</v>
      </c>
      <c r="BJ558" s="68">
        <f t="shared" si="524"/>
        <v>-9.43346157511004</v>
      </c>
      <c r="BK558" s="31">
        <f t="shared" si="477"/>
        <v>1.48435912497544</v>
      </c>
      <c r="BL558" s="32">
        <f t="shared" si="525"/>
        <v>-49.8642976946638</v>
      </c>
      <c r="BM558" s="31">
        <f t="shared" si="526"/>
        <v>-118.488738269813</v>
      </c>
      <c r="BO558">
        <f t="shared" si="527"/>
        <v>0</v>
      </c>
      <c r="BP558">
        <f t="shared" si="528"/>
        <v>0</v>
      </c>
    </row>
    <row r="559" spans="14:68">
      <c r="N559" s="7">
        <v>41</v>
      </c>
      <c r="O559" s="18">
        <f t="shared" si="478"/>
        <v>2570395.78276887</v>
      </c>
      <c r="P559" s="86" t="str">
        <f t="shared" si="479"/>
        <v>60</v>
      </c>
      <c r="Q559" s="4" t="str">
        <f t="shared" si="480"/>
        <v>1+21103,0234074815i</v>
      </c>
      <c r="R559" s="4">
        <f t="shared" si="491"/>
        <v>21103.0234311748</v>
      </c>
      <c r="S559" s="4">
        <f t="shared" si="492"/>
        <v>1.57074894022</v>
      </c>
      <c r="T559" s="4" t="str">
        <f t="shared" si="481"/>
        <v>1+253,236280889778i</v>
      </c>
      <c r="U559" s="4">
        <f t="shared" si="493"/>
        <v>253.238255322703</v>
      </c>
      <c r="V559" s="4">
        <f t="shared" si="494"/>
        <v>1.56684746607617</v>
      </c>
      <c r="W559" t="str">
        <f t="shared" si="482"/>
        <v>1-353,287222223462i</v>
      </c>
      <c r="X559" s="4">
        <f t="shared" si="495"/>
        <v>353.288637499665</v>
      </c>
      <c r="Y559" s="4">
        <f t="shared" si="496"/>
        <v>-1.56796577627843</v>
      </c>
      <c r="Z559" t="str">
        <f t="shared" si="483"/>
        <v>-52,9341590210285+94,2648588276715i</v>
      </c>
      <c r="AA559" s="4">
        <f t="shared" si="497"/>
        <v>108.11053973163</v>
      </c>
      <c r="AB559" s="4">
        <f t="shared" si="498"/>
        <v>2.08246163506005</v>
      </c>
      <c r="AC559" s="67" t="str">
        <f t="shared" si="499"/>
        <v>-2,05030183856636+1,15423091378761i</v>
      </c>
      <c r="AD559" s="68">
        <f t="shared" si="500"/>
        <v>7.43195032705619</v>
      </c>
      <c r="AE559" s="31">
        <f t="shared" si="501"/>
        <v>150.622377909118</v>
      </c>
      <c r="AF559" s="32" t="str">
        <f t="shared" si="502"/>
        <v>326,048966736478</v>
      </c>
      <c r="AG559" s="32" t="str">
        <f t="shared" si="484"/>
        <v>1+13566,229333381i</v>
      </c>
      <c r="AH559" s="32">
        <f t="shared" si="503"/>
        <v>13566.2293702372</v>
      </c>
      <c r="AI559" s="32">
        <f t="shared" si="504"/>
        <v>1.57072261434514</v>
      </c>
      <c r="AJ559" s="32" t="str">
        <f t="shared" si="485"/>
        <v>1+253,236280889778i</v>
      </c>
      <c r="AK559" s="32">
        <f t="shared" si="505"/>
        <v>253.238255322703</v>
      </c>
      <c r="AL559" s="32">
        <f t="shared" si="506"/>
        <v>1.56684746607617</v>
      </c>
      <c r="AM559" s="32" t="str">
        <f t="shared" si="486"/>
        <v>1-41,7928019335098i</v>
      </c>
      <c r="AN559" s="32">
        <f t="shared" si="507"/>
        <v>41.8047640042804</v>
      </c>
      <c r="AO559" s="32">
        <f t="shared" si="508"/>
        <v>-1.54687332626656</v>
      </c>
      <c r="AP559" s="30" t="str">
        <f t="shared" si="509"/>
        <v>5,10055602964943-254,384989125915i</v>
      </c>
      <c r="AQ559" s="32">
        <f t="shared" si="510"/>
        <v>48.1115752310152</v>
      </c>
      <c r="AR559" s="31">
        <f t="shared" si="511"/>
        <v>-88.8513426772357</v>
      </c>
      <c r="AS559" t="str">
        <f t="shared" si="487"/>
        <v>-0,000100699300699301</v>
      </c>
      <c r="AT559" t="str">
        <f t="shared" si="488"/>
        <v>3,62896634667941i</v>
      </c>
      <c r="AU559">
        <f t="shared" si="512"/>
        <v>3.62896634667941</v>
      </c>
      <c r="AV559">
        <f t="shared" si="513"/>
        <v>1.5707963267949</v>
      </c>
      <c r="AW559" t="str">
        <f t="shared" si="489"/>
        <v>1+185,796420766259i</v>
      </c>
      <c r="AX559">
        <f t="shared" si="514"/>
        <v>185.799111864273</v>
      </c>
      <c r="AY559">
        <f t="shared" si="515"/>
        <v>1.56541414375879</v>
      </c>
      <c r="AZ559" t="str">
        <f t="shared" si="490"/>
        <v>1+8882,65015876133i</v>
      </c>
      <c r="BA559">
        <f t="shared" si="516"/>
        <v>8882.65021505083</v>
      </c>
      <c r="BB559">
        <f t="shared" si="517"/>
        <v>1.57068374778099</v>
      </c>
      <c r="BC559" s="30" t="str">
        <f t="shared" si="518"/>
        <v>-6,99066374338062E-06+0,00132658905802862i</v>
      </c>
      <c r="BD559" s="32">
        <f t="shared" si="519"/>
        <v>-57.5451511848038</v>
      </c>
      <c r="BE559" s="31">
        <f t="shared" si="520"/>
        <v>90.3019260701768</v>
      </c>
      <c r="BF559" s="30" t="str">
        <f t="shared" si="521"/>
        <v>-0,00151685712994317-0,0027279768248986i</v>
      </c>
      <c r="BG559" s="68">
        <f t="shared" si="522"/>
        <v>-50.1132008577477</v>
      </c>
      <c r="BH559" s="31">
        <f t="shared" si="523"/>
        <v>-119.075696020705</v>
      </c>
      <c r="BI559" s="30" t="str">
        <f t="shared" si="476"/>
        <v>0,337428686829061+0,00854466173913764i</v>
      </c>
      <c r="BJ559" s="68">
        <f t="shared" si="524"/>
        <v>-9.43357595378867</v>
      </c>
      <c r="BK559" s="31">
        <f t="shared" si="477"/>
        <v>1.45058339294109</v>
      </c>
      <c r="BL559" s="32">
        <f t="shared" si="525"/>
        <v>-50.1132008577477</v>
      </c>
      <c r="BM559" s="31">
        <f t="shared" si="526"/>
        <v>-119.075696020705</v>
      </c>
      <c r="BO559">
        <f t="shared" si="527"/>
        <v>0</v>
      </c>
      <c r="BP559">
        <f t="shared" si="528"/>
        <v>0</v>
      </c>
    </row>
    <row r="560" ht="15.75" spans="14:68">
      <c r="N560" s="7">
        <v>42</v>
      </c>
      <c r="O560" s="18">
        <f t="shared" si="478"/>
        <v>2630267.99189538</v>
      </c>
      <c r="P560" s="86" t="str">
        <f t="shared" si="479"/>
        <v>60</v>
      </c>
      <c r="Q560" s="4" t="str">
        <f t="shared" si="480"/>
        <v>1+21594,5759688125i</v>
      </c>
      <c r="R560" s="4">
        <f t="shared" si="491"/>
        <v>21594.5759919665</v>
      </c>
      <c r="S560" s="4">
        <f t="shared" si="492"/>
        <v>1.57075001887013</v>
      </c>
      <c r="T560" s="4" t="str">
        <f t="shared" si="481"/>
        <v>1+259,13491162575i</v>
      </c>
      <c r="U560" s="4">
        <f t="shared" si="493"/>
        <v>259.136841115433</v>
      </c>
      <c r="V560" s="4">
        <f t="shared" si="494"/>
        <v>1.56693735221742</v>
      </c>
      <c r="W560" t="str">
        <f t="shared" si="482"/>
        <v>1-361,516338763602i</v>
      </c>
      <c r="X560" s="4">
        <f t="shared" si="495"/>
        <v>361.51772182431</v>
      </c>
      <c r="Y560" s="4">
        <f t="shared" si="496"/>
        <v>-1.56803020714192</v>
      </c>
      <c r="Z560" t="str">
        <f t="shared" si="483"/>
        <v>-55,4759976260358+96,4605694566907i</v>
      </c>
      <c r="AA560" s="4">
        <f t="shared" si="497"/>
        <v>111.275458985856</v>
      </c>
      <c r="AB560" s="4">
        <f t="shared" si="498"/>
        <v>2.09271762945212</v>
      </c>
      <c r="AC560" s="74" t="str">
        <f t="shared" si="499"/>
        <v>-2,02653748693877+1,16831779072301i</v>
      </c>
      <c r="AD560" s="75">
        <f t="shared" si="500"/>
        <v>7.38131853753938</v>
      </c>
      <c r="AE560" s="76">
        <f t="shared" si="501"/>
        <v>150.036149393624</v>
      </c>
      <c r="AF560" s="32" t="str">
        <f t="shared" si="502"/>
        <v>326,048966736478</v>
      </c>
      <c r="AG560" s="32" t="str">
        <f t="shared" si="484"/>
        <v>1+13882,2274085223i</v>
      </c>
      <c r="AH560" s="32">
        <f t="shared" si="503"/>
        <v>13882.2274445396</v>
      </c>
      <c r="AI560" s="32">
        <f t="shared" si="504"/>
        <v>1.57072429224534</v>
      </c>
      <c r="AJ560" s="32" t="str">
        <f t="shared" si="485"/>
        <v>1+259,13491162575i</v>
      </c>
      <c r="AK560" s="32">
        <f t="shared" si="505"/>
        <v>259.136841115433</v>
      </c>
      <c r="AL560" s="32">
        <f t="shared" si="506"/>
        <v>1.56693735221742</v>
      </c>
      <c r="AM560" s="32" t="str">
        <f t="shared" si="486"/>
        <v>1-42,766281346338i</v>
      </c>
      <c r="AN560" s="32">
        <f t="shared" si="507"/>
        <v>42.777971202409</v>
      </c>
      <c r="AO560" s="32">
        <f t="shared" si="508"/>
        <v>-1.5474176795327</v>
      </c>
      <c r="AP560" s="69" t="str">
        <f t="shared" si="509"/>
        <v>5,10055595116186-260,309287131431i</v>
      </c>
      <c r="AQ560" s="73">
        <f t="shared" si="510"/>
        <v>48.3114603376094</v>
      </c>
      <c r="AR560" s="76">
        <f t="shared" si="511"/>
        <v>-88.8774778620197</v>
      </c>
      <c r="AS560" t="str">
        <f t="shared" si="487"/>
        <v>-0,000100699300699301</v>
      </c>
      <c r="AT560" t="str">
        <f t="shared" si="488"/>
        <v>3,71349583177972i</v>
      </c>
      <c r="AU560">
        <f t="shared" si="512"/>
        <v>3.71349583177972</v>
      </c>
      <c r="AV560">
        <f t="shared" si="513"/>
        <v>1.5707963267949</v>
      </c>
      <c r="AW560" t="str">
        <f t="shared" si="489"/>
        <v>1+190,124175360958i</v>
      </c>
      <c r="AX560">
        <f t="shared" si="514"/>
        <v>190.12680520296</v>
      </c>
      <c r="AY560">
        <f t="shared" si="515"/>
        <v>1.56553665491623</v>
      </c>
      <c r="AZ560" t="str">
        <f t="shared" si="490"/>
        <v>1+9089,55366034198i</v>
      </c>
      <c r="BA560">
        <f t="shared" si="516"/>
        <v>9089.55371535018</v>
      </c>
      <c r="BB560">
        <f t="shared" si="517"/>
        <v>1.57068631039218</v>
      </c>
      <c r="BC560" s="69" t="str">
        <f t="shared" si="518"/>
        <v>-6,67604075023508E-06+0,00129639385924726i</v>
      </c>
      <c r="BD560" s="73">
        <f t="shared" si="519"/>
        <v>-57.7451455251309</v>
      </c>
      <c r="BE560" s="76">
        <f t="shared" si="520"/>
        <v>90.2950535247185</v>
      </c>
      <c r="BF560" s="69" t="str">
        <f t="shared" si="521"/>
        <v>-0,00150107076269795-0,00263499049078189i</v>
      </c>
      <c r="BG560" s="75">
        <f t="shared" si="522"/>
        <v>-50.3638269875915</v>
      </c>
      <c r="BH560" s="76">
        <f t="shared" si="523"/>
        <v>-119.668797081657</v>
      </c>
      <c r="BI560" s="69" t="str">
        <f t="shared" si="476"/>
        <v>0,33742930982284+0,00835016482238738i</v>
      </c>
      <c r="BJ560" s="75">
        <f t="shared" si="524"/>
        <v>-9.43368518752147</v>
      </c>
      <c r="BK560" s="76">
        <f t="shared" si="477"/>
        <v>1.41757566269885</v>
      </c>
      <c r="BL560" s="73">
        <f t="shared" si="525"/>
        <v>-50.3638269875915</v>
      </c>
      <c r="BM560" s="76">
        <f t="shared" si="526"/>
        <v>-119.668797081657</v>
      </c>
    </row>
    <row r="561" spans="14:30">
      <c r="N561" s="7"/>
      <c r="P561" s="86"/>
      <c r="Q561" s="4"/>
      <c r="R561" s="4"/>
      <c r="S561" s="4"/>
      <c r="T561" s="4"/>
      <c r="U561" s="4"/>
      <c r="V561" s="4"/>
      <c r="X561" s="4"/>
      <c r="Y561" s="4"/>
      <c r="AA561" s="4"/>
      <c r="AB561" s="4"/>
      <c r="AC561" s="4"/>
      <c r="AD561" s="95"/>
    </row>
    <row r="562" spans="14:30">
      <c r="N562" s="7"/>
      <c r="P562" s="86"/>
      <c r="Q562" s="4"/>
      <c r="R562" s="4"/>
      <c r="S562" s="4"/>
      <c r="T562" s="4"/>
      <c r="U562" s="4"/>
      <c r="V562" s="4"/>
      <c r="X562" s="4"/>
      <c r="Y562" s="4"/>
      <c r="AA562" s="4"/>
      <c r="AB562" s="4"/>
      <c r="AC562" s="4"/>
      <c r="AD562" s="95"/>
    </row>
    <row r="563" spans="14:30">
      <c r="N563" s="7"/>
      <c r="P563" s="86"/>
      <c r="Q563" s="4"/>
      <c r="R563" s="4"/>
      <c r="S563" s="4"/>
      <c r="T563" s="4"/>
      <c r="U563" s="4"/>
      <c r="V563" s="4"/>
      <c r="X563" s="4"/>
      <c r="Y563" s="4"/>
      <c r="AA563" s="4"/>
      <c r="AB563" s="4"/>
      <c r="AC563" s="4"/>
      <c r="AD563" s="95"/>
    </row>
    <row r="564" spans="14:30">
      <c r="N564" s="7"/>
      <c r="P564" s="86"/>
      <c r="Q564" s="4"/>
      <c r="R564" s="4"/>
      <c r="S564" s="4"/>
      <c r="T564" s="4"/>
      <c r="U564" s="4"/>
      <c r="V564" s="4"/>
      <c r="X564" s="4"/>
      <c r="Y564" s="4"/>
      <c r="AA564" s="4"/>
      <c r="AB564" s="4"/>
      <c r="AC564" s="4"/>
      <c r="AD564" s="95"/>
    </row>
    <row r="565" spans="14:30">
      <c r="N565" s="7"/>
      <c r="P565" s="86"/>
      <c r="Q565" s="4"/>
      <c r="R565" s="4"/>
      <c r="S565" s="4"/>
      <c r="T565" s="4"/>
      <c r="U565" s="4"/>
      <c r="V565" s="4"/>
      <c r="X565" s="4"/>
      <c r="Y565" s="4"/>
      <c r="AA565" s="4"/>
      <c r="AB565" s="4"/>
      <c r="AC565" s="4"/>
      <c r="AD565" s="95"/>
    </row>
    <row r="566" spans="14:30">
      <c r="N566" s="7"/>
      <c r="P566" s="86"/>
      <c r="Q566" s="4"/>
      <c r="R566" s="4"/>
      <c r="S566" s="4"/>
      <c r="T566" s="4"/>
      <c r="U566" s="4"/>
      <c r="V566" s="4"/>
      <c r="X566" s="4"/>
      <c r="Y566" s="4"/>
      <c r="AA566" s="4"/>
      <c r="AB566" s="4"/>
      <c r="AC566" s="4"/>
      <c r="AD566" s="95"/>
    </row>
    <row r="567" spans="14:30">
      <c r="N567" s="7"/>
      <c r="P567" s="86"/>
      <c r="Q567" s="4"/>
      <c r="R567" s="4"/>
      <c r="S567" s="4"/>
      <c r="T567" s="4"/>
      <c r="U567" s="4"/>
      <c r="V567" s="4"/>
      <c r="X567" s="4"/>
      <c r="Y567" s="4"/>
      <c r="AA567" s="4"/>
      <c r="AB567" s="4"/>
      <c r="AC567" s="4"/>
      <c r="AD567" s="95"/>
    </row>
    <row r="568" spans="14:30">
      <c r="N568" s="7"/>
      <c r="P568" s="86"/>
      <c r="Q568" s="4"/>
      <c r="R568" s="4"/>
      <c r="S568" s="4"/>
      <c r="T568" s="4"/>
      <c r="U568" s="4"/>
      <c r="V568" s="4"/>
      <c r="X568" s="4"/>
      <c r="Y568" s="4"/>
      <c r="AA568" s="4"/>
      <c r="AB568" s="4"/>
      <c r="AC568" s="4"/>
      <c r="AD568" s="95"/>
    </row>
    <row r="569" spans="14:30">
      <c r="N569" s="7"/>
      <c r="P569" s="86"/>
      <c r="Q569" s="4"/>
      <c r="R569" s="4"/>
      <c r="S569" s="4"/>
      <c r="T569" s="4"/>
      <c r="U569" s="4"/>
      <c r="V569" s="4"/>
      <c r="X569" s="4"/>
      <c r="Y569" s="4"/>
      <c r="AA569" s="4"/>
      <c r="AB569" s="4"/>
      <c r="AC569" s="4"/>
      <c r="AD569" s="95"/>
    </row>
    <row r="570" spans="14:30">
      <c r="N570" s="7"/>
      <c r="P570" s="86"/>
      <c r="Q570" s="4"/>
      <c r="R570" s="4"/>
      <c r="S570" s="4"/>
      <c r="T570" s="4"/>
      <c r="U570" s="4"/>
      <c r="V570" s="4"/>
      <c r="X570" s="4"/>
      <c r="Y570" s="4"/>
      <c r="AA570" s="4"/>
      <c r="AB570" s="4"/>
      <c r="AC570" s="4"/>
      <c r="AD570" s="95"/>
    </row>
    <row r="571" spans="14:30">
      <c r="N571" s="7"/>
      <c r="P571" s="86"/>
      <c r="Q571" s="4"/>
      <c r="R571" s="4"/>
      <c r="S571" s="4"/>
      <c r="T571" s="4"/>
      <c r="U571" s="4"/>
      <c r="V571" s="4"/>
      <c r="X571" s="4"/>
      <c r="Y571" s="4"/>
      <c r="AA571" s="4"/>
      <c r="AB571" s="4"/>
      <c r="AC571" s="4"/>
      <c r="AD571" s="95"/>
    </row>
    <row r="572" spans="14:30">
      <c r="N572" s="7"/>
      <c r="P572" s="86"/>
      <c r="Q572" s="4"/>
      <c r="R572" s="4"/>
      <c r="S572" s="4"/>
      <c r="T572" s="4"/>
      <c r="U572" s="4"/>
      <c r="V572" s="4"/>
      <c r="X572" s="4"/>
      <c r="Y572" s="4"/>
      <c r="AA572" s="4"/>
      <c r="AB572" s="4"/>
      <c r="AC572" s="4"/>
      <c r="AD572" s="95"/>
    </row>
    <row r="573" spans="14:30">
      <c r="N573" s="7"/>
      <c r="P573" s="86"/>
      <c r="Q573" s="4"/>
      <c r="R573" s="4"/>
      <c r="S573" s="4"/>
      <c r="T573" s="4"/>
      <c r="U573" s="4"/>
      <c r="V573" s="4"/>
      <c r="X573" s="4"/>
      <c r="Y573" s="4"/>
      <c r="AA573" s="4"/>
      <c r="AB573" s="4"/>
      <c r="AC573" s="4"/>
      <c r="AD573" s="95"/>
    </row>
    <row r="574" spans="14:30">
      <c r="N574" s="7"/>
      <c r="P574" s="86"/>
      <c r="Q574" s="4"/>
      <c r="R574" s="4"/>
      <c r="S574" s="4"/>
      <c r="T574" s="4"/>
      <c r="U574" s="4"/>
      <c r="V574" s="4"/>
      <c r="X574" s="4"/>
      <c r="Y574" s="4"/>
      <c r="AA574" s="4"/>
      <c r="AB574" s="4"/>
      <c r="AC574" s="4"/>
      <c r="AD574" s="95"/>
    </row>
    <row r="575" spans="14:30">
      <c r="N575" s="7"/>
      <c r="P575" s="86"/>
      <c r="Q575" s="4"/>
      <c r="R575" s="4"/>
      <c r="S575" s="4"/>
      <c r="T575" s="4"/>
      <c r="U575" s="4"/>
      <c r="V575" s="4"/>
      <c r="X575" s="4"/>
      <c r="Y575" s="4"/>
      <c r="AA575" s="4"/>
      <c r="AB575" s="4"/>
      <c r="AC575" s="4"/>
      <c r="AD575" s="95"/>
    </row>
    <row r="576" spans="14:30">
      <c r="N576" s="7"/>
      <c r="P576" s="86"/>
      <c r="Q576" s="4"/>
      <c r="R576" s="4"/>
      <c r="S576" s="4"/>
      <c r="T576" s="4"/>
      <c r="U576" s="4"/>
      <c r="V576" s="4"/>
      <c r="X576" s="4"/>
      <c r="Y576" s="4"/>
      <c r="AA576" s="4"/>
      <c r="AB576" s="4"/>
      <c r="AC576" s="4"/>
      <c r="AD576" s="95"/>
    </row>
    <row r="577" spans="14:30">
      <c r="N577" s="7"/>
      <c r="P577" s="86"/>
      <c r="Q577" s="4"/>
      <c r="R577" s="4"/>
      <c r="S577" s="4"/>
      <c r="T577" s="4"/>
      <c r="U577" s="4"/>
      <c r="V577" s="4"/>
      <c r="X577" s="4"/>
      <c r="Y577" s="4"/>
      <c r="AA577" s="4"/>
      <c r="AB577" s="4"/>
      <c r="AC577" s="4"/>
      <c r="AD577" s="95"/>
    </row>
    <row r="578" spans="14:30">
      <c r="N578" s="7"/>
      <c r="P578" s="86"/>
      <c r="Q578" s="4"/>
      <c r="R578" s="4"/>
      <c r="S578" s="4"/>
      <c r="T578" s="4"/>
      <c r="U578" s="4"/>
      <c r="V578" s="4"/>
      <c r="X578" s="4"/>
      <c r="Y578" s="4"/>
      <c r="AA578" s="4"/>
      <c r="AB578" s="4"/>
      <c r="AC578" s="4"/>
      <c r="AD578" s="95"/>
    </row>
    <row r="579" spans="14:30">
      <c r="N579" s="7"/>
      <c r="P579" s="86"/>
      <c r="Q579" s="4"/>
      <c r="R579" s="4"/>
      <c r="S579" s="4"/>
      <c r="T579" s="4"/>
      <c r="U579" s="4"/>
      <c r="V579" s="4"/>
      <c r="X579" s="4"/>
      <c r="Y579" s="4"/>
      <c r="AA579" s="4"/>
      <c r="AB579" s="4"/>
      <c r="AC579" s="4"/>
      <c r="AD579" s="95"/>
    </row>
    <row r="580" spans="14:30">
      <c r="N580" s="7"/>
      <c r="P580" s="86"/>
      <c r="Q580" s="4"/>
      <c r="R580" s="4"/>
      <c r="S580" s="4"/>
      <c r="T580" s="4"/>
      <c r="U580" s="4"/>
      <c r="V580" s="4"/>
      <c r="X580" s="4"/>
      <c r="Y580" s="4"/>
      <c r="AA580" s="4"/>
      <c r="AB580" s="4"/>
      <c r="AC580" s="4"/>
      <c r="AD580" s="95"/>
    </row>
    <row r="581" spans="14:30">
      <c r="N581" s="7"/>
      <c r="P581" s="86"/>
      <c r="Q581" s="4"/>
      <c r="R581" s="4"/>
      <c r="S581" s="4"/>
      <c r="T581" s="4"/>
      <c r="U581" s="4"/>
      <c r="V581" s="4"/>
      <c r="X581" s="4"/>
      <c r="Y581" s="4"/>
      <c r="AA581" s="4"/>
      <c r="AB581" s="4"/>
      <c r="AC581" s="4"/>
      <c r="AD581" s="95"/>
    </row>
    <row r="582" spans="14:30">
      <c r="N582" s="7"/>
      <c r="P582" s="86"/>
      <c r="Q582" s="4"/>
      <c r="R582" s="4"/>
      <c r="S582" s="4"/>
      <c r="T582" s="4"/>
      <c r="U582" s="4"/>
      <c r="V582" s="4"/>
      <c r="X582" s="4"/>
      <c r="Y582" s="4"/>
      <c r="AA582" s="4"/>
      <c r="AB582" s="4"/>
      <c r="AC582" s="4"/>
      <c r="AD582" s="95"/>
    </row>
    <row r="583" spans="14:30">
      <c r="N583" s="7"/>
      <c r="P583" s="86"/>
      <c r="Q583" s="4"/>
      <c r="R583" s="4"/>
      <c r="S583" s="4"/>
      <c r="T583" s="4"/>
      <c r="U583" s="4"/>
      <c r="V583" s="4"/>
      <c r="X583" s="4"/>
      <c r="Y583" s="4"/>
      <c r="AA583" s="4"/>
      <c r="AB583" s="4"/>
      <c r="AC583" s="4"/>
      <c r="AD583" s="95"/>
    </row>
    <row r="584" spans="14:30">
      <c r="N584" s="7"/>
      <c r="P584" s="86"/>
      <c r="Q584" s="4"/>
      <c r="R584" s="4"/>
      <c r="S584" s="4"/>
      <c r="T584" s="4"/>
      <c r="U584" s="4"/>
      <c r="V584" s="4"/>
      <c r="X584" s="4"/>
      <c r="Y584" s="4"/>
      <c r="AA584" s="4"/>
      <c r="AB584" s="4"/>
      <c r="AC584" s="4"/>
      <c r="AD584" s="95"/>
    </row>
    <row r="585" spans="14:30">
      <c r="N585" s="7"/>
      <c r="P585" s="86"/>
      <c r="Q585" s="4"/>
      <c r="R585" s="4"/>
      <c r="S585" s="4"/>
      <c r="T585" s="4"/>
      <c r="U585" s="4"/>
      <c r="V585" s="4"/>
      <c r="X585" s="4"/>
      <c r="Y585" s="4"/>
      <c r="AA585" s="4"/>
      <c r="AB585" s="4"/>
      <c r="AC585" s="4"/>
      <c r="AD585" s="95"/>
    </row>
    <row r="586" spans="14:30">
      <c r="N586" s="7"/>
      <c r="P586" s="86"/>
      <c r="Q586" s="4"/>
      <c r="R586" s="4"/>
      <c r="S586" s="4"/>
      <c r="T586" s="4"/>
      <c r="U586" s="4"/>
      <c r="V586" s="4"/>
      <c r="X586" s="4"/>
      <c r="Y586" s="4"/>
      <c r="AA586" s="4"/>
      <c r="AB586" s="4"/>
      <c r="AC586" s="4"/>
      <c r="AD586" s="95"/>
    </row>
    <row r="587" spans="14:30">
      <c r="N587" s="7"/>
      <c r="P587" s="86"/>
      <c r="Q587" s="4"/>
      <c r="R587" s="4"/>
      <c r="S587" s="4"/>
      <c r="T587" s="4"/>
      <c r="U587" s="4"/>
      <c r="V587" s="4"/>
      <c r="X587" s="4"/>
      <c r="Y587" s="4"/>
      <c r="AA587" s="4"/>
      <c r="AB587" s="4"/>
      <c r="AC587" s="4"/>
      <c r="AD587" s="95"/>
    </row>
    <row r="588" spans="14:30">
      <c r="N588" s="7"/>
      <c r="P588" s="86"/>
      <c r="Q588" s="4"/>
      <c r="R588" s="4"/>
      <c r="S588" s="4"/>
      <c r="T588" s="4"/>
      <c r="U588" s="4"/>
      <c r="V588" s="4"/>
      <c r="X588" s="4"/>
      <c r="Y588" s="4"/>
      <c r="AA588" s="4"/>
      <c r="AB588" s="4"/>
      <c r="AC588" s="4"/>
      <c r="AD588" s="95"/>
    </row>
    <row r="589" spans="14:30">
      <c r="N589" s="7"/>
      <c r="P589" s="86"/>
      <c r="Q589" s="4"/>
      <c r="R589" s="4"/>
      <c r="S589" s="4"/>
      <c r="T589" s="4"/>
      <c r="U589" s="4"/>
      <c r="V589" s="4"/>
      <c r="X589" s="4"/>
      <c r="Y589" s="4"/>
      <c r="AA589" s="4"/>
      <c r="AB589" s="4"/>
      <c r="AC589" s="4"/>
      <c r="AD589" s="95"/>
    </row>
    <row r="590" spans="14:30">
      <c r="N590" s="7"/>
      <c r="P590" s="86"/>
      <c r="Q590" s="4"/>
      <c r="R590" s="4"/>
      <c r="S590" s="4"/>
      <c r="T590" s="4"/>
      <c r="U590" s="4"/>
      <c r="V590" s="4"/>
      <c r="X590" s="4"/>
      <c r="Y590" s="4"/>
      <c r="AA590" s="4"/>
      <c r="AB590" s="4"/>
      <c r="AC590" s="4"/>
      <c r="AD590" s="95"/>
    </row>
    <row r="591" spans="14:30">
      <c r="N591" s="7"/>
      <c r="P591" s="86"/>
      <c r="Q591" s="4"/>
      <c r="R591" s="4"/>
      <c r="S591" s="4"/>
      <c r="T591" s="4"/>
      <c r="U591" s="4"/>
      <c r="V591" s="4"/>
      <c r="X591" s="4"/>
      <c r="Y591" s="4"/>
      <c r="AA591" s="4"/>
      <c r="AB591" s="4"/>
      <c r="AC591" s="4"/>
      <c r="AD591" s="95"/>
    </row>
    <row r="592" spans="14:30">
      <c r="N592" s="7"/>
      <c r="P592" s="86"/>
      <c r="Q592" s="4"/>
      <c r="R592" s="4"/>
      <c r="S592" s="4"/>
      <c r="T592" s="4"/>
      <c r="U592" s="4"/>
      <c r="V592" s="4"/>
      <c r="X592" s="4"/>
      <c r="Y592" s="4"/>
      <c r="AA592" s="4"/>
      <c r="AB592" s="4"/>
      <c r="AC592" s="4"/>
      <c r="AD592" s="95"/>
    </row>
    <row r="593" spans="14:30">
      <c r="N593" s="7"/>
      <c r="P593" s="86"/>
      <c r="Q593" s="4"/>
      <c r="R593" s="4"/>
      <c r="S593" s="4"/>
      <c r="T593" s="4"/>
      <c r="U593" s="4"/>
      <c r="V593" s="4"/>
      <c r="X593" s="4"/>
      <c r="Y593" s="4"/>
      <c r="AA593" s="4"/>
      <c r="AB593" s="4"/>
      <c r="AC593" s="4"/>
      <c r="AD593" s="95"/>
    </row>
    <row r="594" spans="14:30">
      <c r="N594" s="7"/>
      <c r="P594" s="86"/>
      <c r="Q594" s="4"/>
      <c r="R594" s="4"/>
      <c r="S594" s="4"/>
      <c r="T594" s="4"/>
      <c r="U594" s="4"/>
      <c r="V594" s="4"/>
      <c r="X594" s="4"/>
      <c r="Y594" s="4"/>
      <c r="AA594" s="4"/>
      <c r="AB594" s="4"/>
      <c r="AC594" s="4"/>
      <c r="AD594" s="95"/>
    </row>
    <row r="595" spans="14:30">
      <c r="N595" s="7"/>
      <c r="P595" s="86"/>
      <c r="Q595" s="4"/>
      <c r="R595" s="4"/>
      <c r="S595" s="4"/>
      <c r="T595" s="4"/>
      <c r="U595" s="4"/>
      <c r="V595" s="4"/>
      <c r="X595" s="4"/>
      <c r="Y595" s="4"/>
      <c r="AA595" s="4"/>
      <c r="AB595" s="4"/>
      <c r="AC595" s="4"/>
      <c r="AD595" s="95"/>
    </row>
    <row r="596" spans="14:30">
      <c r="N596" s="7"/>
      <c r="P596" s="86"/>
      <c r="Q596" s="4"/>
      <c r="R596" s="4"/>
      <c r="S596" s="4"/>
      <c r="T596" s="4"/>
      <c r="U596" s="4"/>
      <c r="V596" s="4"/>
      <c r="X596" s="4"/>
      <c r="Y596" s="4"/>
      <c r="AA596" s="4"/>
      <c r="AB596" s="4"/>
      <c r="AC596" s="4"/>
      <c r="AD596" s="95"/>
    </row>
    <row r="597" spans="14:30">
      <c r="N597" s="7"/>
      <c r="P597" s="86"/>
      <c r="Q597" s="4"/>
      <c r="R597" s="4"/>
      <c r="S597" s="4"/>
      <c r="T597" s="4"/>
      <c r="U597" s="4"/>
      <c r="V597" s="4"/>
      <c r="X597" s="4"/>
      <c r="Y597" s="4"/>
      <c r="AA597" s="4"/>
      <c r="AB597" s="4"/>
      <c r="AC597" s="4"/>
      <c r="AD597" s="95"/>
    </row>
    <row r="598" spans="14:30">
      <c r="N598" s="7"/>
      <c r="P598" s="86"/>
      <c r="Q598" s="4"/>
      <c r="R598" s="4"/>
      <c r="S598" s="4"/>
      <c r="T598" s="4"/>
      <c r="U598" s="4"/>
      <c r="V598" s="4"/>
      <c r="X598" s="4"/>
      <c r="Y598" s="4"/>
      <c r="AA598" s="4"/>
      <c r="AB598" s="4"/>
      <c r="AC598" s="4"/>
      <c r="AD598" s="95"/>
    </row>
    <row r="599" spans="14:30">
      <c r="N599" s="7"/>
      <c r="P599" s="86"/>
      <c r="Q599" s="4"/>
      <c r="R599" s="4"/>
      <c r="S599" s="4"/>
      <c r="T599" s="4"/>
      <c r="U599" s="4"/>
      <c r="V599" s="4"/>
      <c r="X599" s="4"/>
      <c r="Y599" s="4"/>
      <c r="AA599" s="4"/>
      <c r="AB599" s="4"/>
      <c r="AC599" s="4"/>
      <c r="AD599" s="95"/>
    </row>
    <row r="600" spans="14:30">
      <c r="N600" s="7"/>
      <c r="P600" s="86"/>
      <c r="Q600" s="4"/>
      <c r="R600" s="4"/>
      <c r="S600" s="4"/>
      <c r="T600" s="4"/>
      <c r="U600" s="4"/>
      <c r="V600" s="4"/>
      <c r="X600" s="4"/>
      <c r="Y600" s="4"/>
      <c r="AA600" s="4"/>
      <c r="AB600" s="4"/>
      <c r="AC600" s="4"/>
      <c r="AD600" s="95"/>
    </row>
    <row r="601" spans="14:30">
      <c r="N601" s="7"/>
      <c r="P601" s="86"/>
      <c r="Q601" s="4"/>
      <c r="R601" s="4"/>
      <c r="S601" s="4"/>
      <c r="T601" s="4"/>
      <c r="U601" s="4"/>
      <c r="V601" s="4"/>
      <c r="X601" s="4"/>
      <c r="Y601" s="4"/>
      <c r="AA601" s="4"/>
      <c r="AB601" s="4"/>
      <c r="AC601" s="4"/>
      <c r="AD601" s="95"/>
    </row>
    <row r="602" spans="14:30">
      <c r="N602" s="7"/>
      <c r="P602" s="86"/>
      <c r="Q602" s="4"/>
      <c r="R602" s="4"/>
      <c r="S602" s="4"/>
      <c r="T602" s="4"/>
      <c r="U602" s="4"/>
      <c r="V602" s="4"/>
      <c r="X602" s="4"/>
      <c r="Y602" s="4"/>
      <c r="AA602" s="4"/>
      <c r="AB602" s="4"/>
      <c r="AC602" s="4"/>
      <c r="AD602" s="95"/>
    </row>
    <row r="603" spans="14:30">
      <c r="N603" s="7"/>
      <c r="P603" s="86"/>
      <c r="Q603" s="4"/>
      <c r="R603" s="4"/>
      <c r="S603" s="4"/>
      <c r="T603" s="4"/>
      <c r="U603" s="4"/>
      <c r="V603" s="4"/>
      <c r="X603" s="4"/>
      <c r="Y603" s="4"/>
      <c r="AA603" s="4"/>
      <c r="AB603" s="4"/>
      <c r="AC603" s="4"/>
      <c r="AD603" s="95"/>
    </row>
    <row r="604" spans="14:30">
      <c r="N604" s="7"/>
      <c r="P604" s="86"/>
      <c r="Q604" s="4"/>
      <c r="R604" s="4"/>
      <c r="S604" s="4"/>
      <c r="T604" s="4"/>
      <c r="U604" s="4"/>
      <c r="V604" s="4"/>
      <c r="X604" s="4"/>
      <c r="Y604" s="4"/>
      <c r="AA604" s="4"/>
      <c r="AB604" s="4"/>
      <c r="AC604" s="4"/>
      <c r="AD604" s="95"/>
    </row>
    <row r="605" spans="14:30">
      <c r="N605" s="7"/>
      <c r="P605" s="86"/>
      <c r="Q605" s="4"/>
      <c r="R605" s="4"/>
      <c r="S605" s="4"/>
      <c r="T605" s="4"/>
      <c r="U605" s="4"/>
      <c r="V605" s="4"/>
      <c r="X605" s="4"/>
      <c r="Y605" s="4"/>
      <c r="AA605" s="4"/>
      <c r="AB605" s="4"/>
      <c r="AC605" s="4"/>
      <c r="AD605" s="95"/>
    </row>
    <row r="606" spans="14:30">
      <c r="N606" s="7"/>
      <c r="P606" s="86"/>
      <c r="Q606" s="4"/>
      <c r="R606" s="4"/>
      <c r="S606" s="4"/>
      <c r="T606" s="4"/>
      <c r="U606" s="4"/>
      <c r="V606" s="4"/>
      <c r="X606" s="4"/>
      <c r="Y606" s="4"/>
      <c r="AA606" s="4"/>
      <c r="AB606" s="4"/>
      <c r="AC606" s="4"/>
      <c r="AD606" s="95"/>
    </row>
    <row r="607" spans="14:30">
      <c r="N607" s="7"/>
      <c r="P607" s="86"/>
      <c r="Q607" s="4"/>
      <c r="R607" s="4"/>
      <c r="S607" s="4"/>
      <c r="T607" s="4"/>
      <c r="U607" s="4"/>
      <c r="V607" s="4"/>
      <c r="X607" s="4"/>
      <c r="Y607" s="4"/>
      <c r="AA607" s="4"/>
      <c r="AB607" s="4"/>
      <c r="AC607" s="4"/>
      <c r="AD607" s="95"/>
    </row>
    <row r="608" spans="14:30">
      <c r="N608" s="7"/>
      <c r="P608" s="86"/>
      <c r="Q608" s="4"/>
      <c r="R608" s="4"/>
      <c r="S608" s="4"/>
      <c r="T608" s="4"/>
      <c r="U608" s="4"/>
      <c r="V608" s="4"/>
      <c r="X608" s="4"/>
      <c r="Y608" s="4"/>
      <c r="AA608" s="4"/>
      <c r="AB608" s="4"/>
      <c r="AC608" s="4"/>
      <c r="AD608" s="95"/>
    </row>
    <row r="609" spans="14:30">
      <c r="N609" s="7"/>
      <c r="P609" s="86"/>
      <c r="Q609" s="4"/>
      <c r="R609" s="4"/>
      <c r="S609" s="4"/>
      <c r="T609" s="4"/>
      <c r="U609" s="4"/>
      <c r="V609" s="4"/>
      <c r="X609" s="4"/>
      <c r="Y609" s="4"/>
      <c r="AA609" s="4"/>
      <c r="AB609" s="4"/>
      <c r="AC609" s="4"/>
      <c r="AD609" s="95"/>
    </row>
    <row r="610" spans="14:30">
      <c r="N610" s="7"/>
      <c r="P610" s="86"/>
      <c r="Q610" s="4"/>
      <c r="R610" s="4"/>
      <c r="S610" s="4"/>
      <c r="T610" s="4"/>
      <c r="U610" s="4"/>
      <c r="V610" s="4"/>
      <c r="X610" s="4"/>
      <c r="Y610" s="4"/>
      <c r="AA610" s="4"/>
      <c r="AB610" s="4"/>
      <c r="AC610" s="4"/>
      <c r="AD610" s="95"/>
    </row>
    <row r="611" spans="14:30">
      <c r="N611" s="7"/>
      <c r="P611" s="86"/>
      <c r="Q611" s="4"/>
      <c r="R611" s="4"/>
      <c r="S611" s="4"/>
      <c r="T611" s="4"/>
      <c r="U611" s="4"/>
      <c r="V611" s="4"/>
      <c r="X611" s="4"/>
      <c r="Y611" s="4"/>
      <c r="AA611" s="4"/>
      <c r="AB611" s="4"/>
      <c r="AC611" s="4"/>
      <c r="AD611" s="95"/>
    </row>
    <row r="612" spans="14:30">
      <c r="N612" s="7"/>
      <c r="P612" s="86"/>
      <c r="Q612" s="4"/>
      <c r="R612" s="4"/>
      <c r="S612" s="4"/>
      <c r="T612" s="4"/>
      <c r="U612" s="4"/>
      <c r="V612" s="4"/>
      <c r="X612" s="4"/>
      <c r="Y612" s="4"/>
      <c r="AA612" s="4"/>
      <c r="AB612" s="4"/>
      <c r="AC612" s="4"/>
      <c r="AD612" s="95"/>
    </row>
    <row r="613" spans="14:30">
      <c r="N613" s="7"/>
      <c r="P613" s="86"/>
      <c r="Q613" s="4"/>
      <c r="R613" s="4"/>
      <c r="S613" s="4"/>
      <c r="T613" s="4"/>
      <c r="U613" s="4"/>
      <c r="V613" s="4"/>
      <c r="X613" s="4"/>
      <c r="Y613" s="4"/>
      <c r="AA613" s="4"/>
      <c r="AB613" s="4"/>
      <c r="AC613" s="4"/>
      <c r="AD613" s="95"/>
    </row>
    <row r="614" spans="14:30">
      <c r="N614" s="7"/>
      <c r="P614" s="86"/>
      <c r="Q614" s="4"/>
      <c r="R614" s="4"/>
      <c r="S614" s="4"/>
      <c r="T614" s="4"/>
      <c r="U614" s="4"/>
      <c r="V614" s="4"/>
      <c r="X614" s="4"/>
      <c r="Y614" s="4"/>
      <c r="AA614" s="4"/>
      <c r="AB614" s="4"/>
      <c r="AC614" s="4"/>
      <c r="AD614" s="95"/>
    </row>
    <row r="615" spans="14:30">
      <c r="N615" s="7"/>
      <c r="P615" s="86"/>
      <c r="Q615" s="4"/>
      <c r="R615" s="4"/>
      <c r="S615" s="4"/>
      <c r="T615" s="4"/>
      <c r="U615" s="4"/>
      <c r="V615" s="4"/>
      <c r="X615" s="4"/>
      <c r="Y615" s="4"/>
      <c r="AA615" s="4"/>
      <c r="AB615" s="4"/>
      <c r="AC615" s="4"/>
      <c r="AD615" s="95"/>
    </row>
    <row r="616" spans="14:30">
      <c r="N616" s="7"/>
      <c r="P616" s="86"/>
      <c r="Q616" s="4"/>
      <c r="R616" s="4"/>
      <c r="S616" s="4"/>
      <c r="T616" s="4"/>
      <c r="U616" s="4"/>
      <c r="V616" s="4"/>
      <c r="X616" s="4"/>
      <c r="Y616" s="4"/>
      <c r="AA616" s="4"/>
      <c r="AB616" s="4"/>
      <c r="AC616" s="4"/>
      <c r="AD616" s="95"/>
    </row>
    <row r="617" spans="14:30">
      <c r="N617" s="7"/>
      <c r="P617" s="86"/>
      <c r="Q617" s="4"/>
      <c r="R617" s="4"/>
      <c r="S617" s="4"/>
      <c r="T617" s="4"/>
      <c r="U617" s="4"/>
      <c r="V617" s="4"/>
      <c r="X617" s="4"/>
      <c r="Y617" s="4"/>
      <c r="AA617" s="4"/>
      <c r="AB617" s="4"/>
      <c r="AC617" s="4"/>
      <c r="AD617" s="95"/>
    </row>
    <row r="618" spans="14:30">
      <c r="N618" s="7"/>
      <c r="P618" s="86"/>
      <c r="Q618" s="4"/>
      <c r="R618" s="4"/>
      <c r="S618" s="4"/>
      <c r="T618" s="4"/>
      <c r="U618" s="4"/>
      <c r="V618" s="4"/>
      <c r="X618" s="4"/>
      <c r="Y618" s="4"/>
      <c r="AA618" s="4"/>
      <c r="AB618" s="4"/>
      <c r="AC618" s="4"/>
      <c r="AD618" s="95"/>
    </row>
    <row r="619" spans="14:30">
      <c r="N619" s="7"/>
      <c r="P619" s="86"/>
      <c r="Q619" s="4"/>
      <c r="R619" s="4"/>
      <c r="S619" s="4"/>
      <c r="T619" s="4"/>
      <c r="U619" s="4"/>
      <c r="V619" s="4"/>
      <c r="X619" s="4"/>
      <c r="Y619" s="4"/>
      <c r="AA619" s="4"/>
      <c r="AB619" s="4"/>
      <c r="AC619" s="4"/>
      <c r="AD619" s="95"/>
    </row>
    <row r="620" spans="14:30">
      <c r="N620" s="7"/>
      <c r="P620" s="86"/>
      <c r="Q620" s="4"/>
      <c r="R620" s="4"/>
      <c r="S620" s="4"/>
      <c r="T620" s="4"/>
      <c r="U620" s="4"/>
      <c r="V620" s="4"/>
      <c r="X620" s="4"/>
      <c r="Y620" s="4"/>
      <c r="AA620" s="4"/>
      <c r="AB620" s="4"/>
      <c r="AC620" s="4"/>
      <c r="AD620" s="95"/>
    </row>
    <row r="621" spans="14:30">
      <c r="N621" s="7"/>
      <c r="P621" s="86"/>
      <c r="Q621" s="4"/>
      <c r="R621" s="4"/>
      <c r="S621" s="4"/>
      <c r="T621" s="4"/>
      <c r="U621" s="4"/>
      <c r="V621" s="4"/>
      <c r="X621" s="4"/>
      <c r="Y621" s="4"/>
      <c r="AA621" s="4"/>
      <c r="AB621" s="4"/>
      <c r="AC621" s="4"/>
      <c r="AD621" s="95"/>
    </row>
    <row r="622" spans="14:30">
      <c r="N622" s="7"/>
      <c r="P622" s="86"/>
      <c r="Q622" s="4"/>
      <c r="R622" s="4"/>
      <c r="S622" s="4"/>
      <c r="T622" s="4"/>
      <c r="U622" s="4"/>
      <c r="V622" s="4"/>
      <c r="X622" s="4"/>
      <c r="Y622" s="4"/>
      <c r="AA622" s="4"/>
      <c r="AB622" s="4"/>
      <c r="AC622" s="4"/>
      <c r="AD622" s="95"/>
    </row>
    <row r="623" spans="14:30">
      <c r="N623" s="7"/>
      <c r="P623" s="86"/>
      <c r="Q623" s="4"/>
      <c r="R623" s="4"/>
      <c r="S623" s="4"/>
      <c r="T623" s="4"/>
      <c r="U623" s="4"/>
      <c r="V623" s="4"/>
      <c r="X623" s="4"/>
      <c r="Y623" s="4"/>
      <c r="AA623" s="4"/>
      <c r="AB623" s="4"/>
      <c r="AC623" s="4"/>
      <c r="AD623" s="95"/>
    </row>
    <row r="624" spans="14:30">
      <c r="N624" s="7"/>
      <c r="P624" s="86"/>
      <c r="Q624" s="4"/>
      <c r="R624" s="4"/>
      <c r="S624" s="4"/>
      <c r="T624" s="4"/>
      <c r="U624" s="4"/>
      <c r="V624" s="4"/>
      <c r="X624" s="4"/>
      <c r="Y624" s="4"/>
      <c r="AA624" s="4"/>
      <c r="AB624" s="4"/>
      <c r="AC624" s="4"/>
      <c r="AD624" s="95"/>
    </row>
    <row r="625" spans="14:30">
      <c r="N625" s="7"/>
      <c r="P625" s="86"/>
      <c r="Q625" s="4"/>
      <c r="R625" s="4"/>
      <c r="S625" s="4"/>
      <c r="T625" s="4"/>
      <c r="U625" s="4"/>
      <c r="V625" s="4"/>
      <c r="X625" s="4"/>
      <c r="Y625" s="4"/>
      <c r="AA625" s="4"/>
      <c r="AB625" s="4"/>
      <c r="AC625" s="4"/>
      <c r="AD625" s="95"/>
    </row>
    <row r="626" spans="14:30">
      <c r="N626" s="7"/>
      <c r="P626" s="86"/>
      <c r="Q626" s="4"/>
      <c r="R626" s="4"/>
      <c r="S626" s="4"/>
      <c r="T626" s="4"/>
      <c r="U626" s="4"/>
      <c r="V626" s="4"/>
      <c r="X626" s="4"/>
      <c r="Y626" s="4"/>
      <c r="AA626" s="4"/>
      <c r="AB626" s="4"/>
      <c r="AC626" s="4"/>
      <c r="AD626" s="95"/>
    </row>
    <row r="627" spans="14:30">
      <c r="N627" s="7"/>
      <c r="P627" s="86"/>
      <c r="Q627" s="4"/>
      <c r="R627" s="4"/>
      <c r="S627" s="4"/>
      <c r="T627" s="4"/>
      <c r="U627" s="4"/>
      <c r="V627" s="4"/>
      <c r="X627" s="4"/>
      <c r="Y627" s="4"/>
      <c r="AA627" s="4"/>
      <c r="AB627" s="4"/>
      <c r="AC627" s="4"/>
      <c r="AD627" s="95"/>
    </row>
    <row r="628" spans="14:30">
      <c r="N628" s="7"/>
      <c r="P628" s="86"/>
      <c r="Q628" s="4"/>
      <c r="R628" s="4"/>
      <c r="S628" s="4"/>
      <c r="T628" s="4"/>
      <c r="U628" s="4"/>
      <c r="V628" s="4"/>
      <c r="X628" s="4"/>
      <c r="Y628" s="4"/>
      <c r="AA628" s="4"/>
      <c r="AB628" s="4"/>
      <c r="AC628" s="4"/>
      <c r="AD628" s="95"/>
    </row>
    <row r="629" spans="14:30">
      <c r="N629" s="7"/>
      <c r="P629" s="86"/>
      <c r="Q629" s="4"/>
      <c r="R629" s="4"/>
      <c r="S629" s="4"/>
      <c r="T629" s="4"/>
      <c r="U629" s="4"/>
      <c r="V629" s="4"/>
      <c r="X629" s="4"/>
      <c r="Y629" s="4"/>
      <c r="AA629" s="4"/>
      <c r="AB629" s="4"/>
      <c r="AC629" s="4"/>
      <c r="AD629" s="95"/>
    </row>
    <row r="630" spans="14:30">
      <c r="N630" s="7"/>
      <c r="P630" s="86"/>
      <c r="Q630" s="4"/>
      <c r="R630" s="4"/>
      <c r="S630" s="4"/>
      <c r="T630" s="4"/>
      <c r="U630" s="4"/>
      <c r="V630" s="4"/>
      <c r="X630" s="4"/>
      <c r="Y630" s="4"/>
      <c r="AA630" s="4"/>
      <c r="AB630" s="4"/>
      <c r="AC630" s="4"/>
      <c r="AD630" s="95"/>
    </row>
    <row r="631" spans="14:30">
      <c r="N631" s="7"/>
      <c r="P631" s="86"/>
      <c r="Q631" s="4"/>
      <c r="R631" s="4"/>
      <c r="S631" s="4"/>
      <c r="T631" s="4"/>
      <c r="U631" s="4"/>
      <c r="V631" s="4"/>
      <c r="X631" s="4"/>
      <c r="Y631" s="4"/>
      <c r="AA631" s="4"/>
      <c r="AB631" s="4"/>
      <c r="AC631" s="4"/>
      <c r="AD631" s="95"/>
    </row>
    <row r="632" spans="14:30">
      <c r="N632" s="7"/>
      <c r="P632" s="86"/>
      <c r="Q632" s="4"/>
      <c r="R632" s="4"/>
      <c r="S632" s="4"/>
      <c r="T632" s="4"/>
      <c r="U632" s="4"/>
      <c r="V632" s="4"/>
      <c r="X632" s="4"/>
      <c r="Y632" s="4"/>
      <c r="AA632" s="4"/>
      <c r="AB632" s="4"/>
      <c r="AC632" s="4"/>
      <c r="AD632" s="95"/>
    </row>
    <row r="633" spans="14:30">
      <c r="N633" s="7"/>
      <c r="P633" s="86"/>
      <c r="Q633" s="4"/>
      <c r="R633" s="4"/>
      <c r="S633" s="4"/>
      <c r="T633" s="4"/>
      <c r="U633" s="4"/>
      <c r="V633" s="4"/>
      <c r="X633" s="4"/>
      <c r="Y633" s="4"/>
      <c r="AA633" s="4"/>
      <c r="AB633" s="4"/>
      <c r="AC633" s="4"/>
      <c r="AD633" s="95"/>
    </row>
    <row r="634" spans="14:30">
      <c r="N634" s="7"/>
      <c r="P634" s="86"/>
      <c r="Q634" s="4"/>
      <c r="R634" s="4"/>
      <c r="S634" s="4"/>
      <c r="T634" s="4"/>
      <c r="U634" s="4"/>
      <c r="V634" s="4"/>
      <c r="X634" s="4"/>
      <c r="Y634" s="4"/>
      <c r="AA634" s="4"/>
      <c r="AB634" s="4"/>
      <c r="AC634" s="4"/>
      <c r="AD634" s="95"/>
    </row>
    <row r="635" spans="14:30">
      <c r="N635" s="7"/>
      <c r="P635" s="86"/>
      <c r="Q635" s="4"/>
      <c r="R635" s="4"/>
      <c r="S635" s="4"/>
      <c r="T635" s="4"/>
      <c r="U635" s="4"/>
      <c r="V635" s="4"/>
      <c r="X635" s="4"/>
      <c r="Y635" s="4"/>
      <c r="AA635" s="4"/>
      <c r="AB635" s="4"/>
      <c r="AC635" s="4"/>
      <c r="AD635" s="95"/>
    </row>
    <row r="636" spans="14:30">
      <c r="N636" s="7"/>
      <c r="P636" s="86"/>
      <c r="Q636" s="4"/>
      <c r="R636" s="4"/>
      <c r="S636" s="4"/>
      <c r="T636" s="4"/>
      <c r="U636" s="4"/>
      <c r="V636" s="4"/>
      <c r="X636" s="4"/>
      <c r="Y636" s="4"/>
      <c r="AA636" s="4"/>
      <c r="AB636" s="4"/>
      <c r="AC636" s="4"/>
      <c r="AD636" s="95"/>
    </row>
    <row r="637" spans="14:30">
      <c r="N637" s="7"/>
      <c r="P637" s="86"/>
      <c r="Q637" s="4"/>
      <c r="R637" s="4"/>
      <c r="S637" s="4"/>
      <c r="T637" s="4"/>
      <c r="U637" s="4"/>
      <c r="V637" s="4"/>
      <c r="X637" s="4"/>
      <c r="Y637" s="4"/>
      <c r="AA637" s="4"/>
      <c r="AB637" s="4"/>
      <c r="AC637" s="4"/>
      <c r="AD637" s="95"/>
    </row>
    <row r="638" spans="14:30">
      <c r="N638" s="7"/>
      <c r="P638" s="86"/>
      <c r="Q638" s="4"/>
      <c r="R638" s="4"/>
      <c r="S638" s="4"/>
      <c r="T638" s="4"/>
      <c r="U638" s="4"/>
      <c r="V638" s="4"/>
      <c r="X638" s="4"/>
      <c r="Y638" s="4"/>
      <c r="AA638" s="4"/>
      <c r="AB638" s="4"/>
      <c r="AC638" s="4"/>
      <c r="AD638" s="95"/>
    </row>
    <row r="639" spans="14:30">
      <c r="N639" s="7"/>
      <c r="P639" s="86"/>
      <c r="Q639" s="4"/>
      <c r="R639" s="4"/>
      <c r="S639" s="4"/>
      <c r="T639" s="4"/>
      <c r="U639" s="4"/>
      <c r="V639" s="4"/>
      <c r="X639" s="4"/>
      <c r="Y639" s="4"/>
      <c r="AA639" s="4"/>
      <c r="AB639" s="4"/>
      <c r="AC639" s="4"/>
      <c r="AD639" s="95"/>
    </row>
    <row r="640" spans="14:30">
      <c r="N640" s="7"/>
      <c r="P640" s="86"/>
      <c r="Q640" s="4"/>
      <c r="R640" s="4"/>
      <c r="S640" s="4"/>
      <c r="T640" s="4"/>
      <c r="U640" s="4"/>
      <c r="V640" s="4"/>
      <c r="X640" s="4"/>
      <c r="Y640" s="4"/>
      <c r="AA640" s="4"/>
      <c r="AB640" s="4"/>
      <c r="AC640" s="4"/>
      <c r="AD640" s="95"/>
    </row>
    <row r="641" spans="14:30">
      <c r="N641" s="7"/>
      <c r="P641" s="86"/>
      <c r="Q641" s="4"/>
      <c r="R641" s="4"/>
      <c r="S641" s="4"/>
      <c r="T641" s="4"/>
      <c r="U641" s="4"/>
      <c r="V641" s="4"/>
      <c r="X641" s="4"/>
      <c r="Y641" s="4"/>
      <c r="AA641" s="4"/>
      <c r="AB641" s="4"/>
      <c r="AC641" s="4"/>
      <c r="AD641" s="95"/>
    </row>
    <row r="642" spans="14:30">
      <c r="N642" s="7"/>
      <c r="P642" s="86"/>
      <c r="Q642" s="4"/>
      <c r="R642" s="4"/>
      <c r="S642" s="4"/>
      <c r="T642" s="4"/>
      <c r="U642" s="4"/>
      <c r="V642" s="4"/>
      <c r="X642" s="4"/>
      <c r="Y642" s="4"/>
      <c r="AA642" s="4"/>
      <c r="AB642" s="4"/>
      <c r="AC642" s="4"/>
      <c r="AD642" s="95"/>
    </row>
    <row r="643" spans="14:30">
      <c r="N643" s="7"/>
      <c r="P643" s="86"/>
      <c r="Q643" s="4"/>
      <c r="R643" s="4"/>
      <c r="S643" s="4"/>
      <c r="T643" s="4"/>
      <c r="U643" s="4"/>
      <c r="V643" s="4"/>
      <c r="X643" s="4"/>
      <c r="Y643" s="4"/>
      <c r="AA643" s="4"/>
      <c r="AB643" s="4"/>
      <c r="AC643" s="4"/>
      <c r="AD643" s="95"/>
    </row>
    <row r="644" spans="14:30">
      <c r="N644" s="7"/>
      <c r="P644" s="86"/>
      <c r="Q644" s="4"/>
      <c r="R644" s="4"/>
      <c r="S644" s="4"/>
      <c r="T644" s="4"/>
      <c r="U644" s="4"/>
      <c r="V644" s="4"/>
      <c r="X644" s="4"/>
      <c r="Y644" s="4"/>
      <c r="AA644" s="4"/>
      <c r="AB644" s="4"/>
      <c r="AC644" s="4"/>
      <c r="AD644" s="95"/>
    </row>
    <row r="645" spans="14:30">
      <c r="N645" s="7"/>
      <c r="P645" s="86"/>
      <c r="Q645" s="4"/>
      <c r="R645" s="4"/>
      <c r="S645" s="4"/>
      <c r="T645" s="4"/>
      <c r="U645" s="4"/>
      <c r="V645" s="4"/>
      <c r="X645" s="4"/>
      <c r="Y645" s="4"/>
      <c r="AA645" s="4"/>
      <c r="AB645" s="4"/>
      <c r="AC645" s="4"/>
      <c r="AD645" s="95"/>
    </row>
    <row r="646" spans="14:30">
      <c r="N646" s="7"/>
      <c r="P646" s="86"/>
      <c r="Q646" s="4"/>
      <c r="R646" s="4"/>
      <c r="S646" s="4"/>
      <c r="T646" s="4"/>
      <c r="U646" s="4"/>
      <c r="V646" s="4"/>
      <c r="X646" s="4"/>
      <c r="Y646" s="4"/>
      <c r="AA646" s="4"/>
      <c r="AB646" s="4"/>
      <c r="AC646" s="4"/>
      <c r="AD646" s="95"/>
    </row>
    <row r="647" spans="14:30">
      <c r="N647" s="7"/>
      <c r="P647" s="86"/>
      <c r="Q647" s="4"/>
      <c r="R647" s="4"/>
      <c r="S647" s="4"/>
      <c r="T647" s="4"/>
      <c r="U647" s="4"/>
      <c r="V647" s="4"/>
      <c r="X647" s="4"/>
      <c r="Y647" s="4"/>
      <c r="AA647" s="4"/>
      <c r="AB647" s="4"/>
      <c r="AC647" s="4"/>
      <c r="AD647" s="95"/>
    </row>
    <row r="648" spans="14:30">
      <c r="N648" s="7"/>
      <c r="P648" s="86"/>
      <c r="Q648" s="4"/>
      <c r="R648" s="4"/>
      <c r="S648" s="4"/>
      <c r="T648" s="4"/>
      <c r="U648" s="4"/>
      <c r="V648" s="4"/>
      <c r="X648" s="4"/>
      <c r="Y648" s="4"/>
      <c r="AA648" s="4"/>
      <c r="AB648" s="4"/>
      <c r="AC648" s="4"/>
      <c r="AD648" s="95"/>
    </row>
    <row r="649" spans="14:30">
      <c r="N649" s="7"/>
      <c r="P649" s="86"/>
      <c r="Q649" s="4"/>
      <c r="R649" s="4"/>
      <c r="S649" s="4"/>
      <c r="T649" s="4"/>
      <c r="U649" s="4"/>
      <c r="V649" s="4"/>
      <c r="X649" s="4"/>
      <c r="Y649" s="4"/>
      <c r="AA649" s="4"/>
      <c r="AB649" s="4"/>
      <c r="AC649" s="4"/>
      <c r="AD649" s="95"/>
    </row>
    <row r="650" spans="14:30">
      <c r="N650" s="7"/>
      <c r="P650" s="86"/>
      <c r="Q650" s="4"/>
      <c r="R650" s="4"/>
      <c r="S650" s="4"/>
      <c r="T650" s="4"/>
      <c r="U650" s="4"/>
      <c r="V650" s="4"/>
      <c r="X650" s="4"/>
      <c r="Y650" s="4"/>
      <c r="AA650" s="4"/>
      <c r="AB650" s="4"/>
      <c r="AC650" s="4"/>
      <c r="AD650" s="95"/>
    </row>
    <row r="651" spans="14:30">
      <c r="N651" s="7"/>
      <c r="P651" s="86"/>
      <c r="Q651" s="4"/>
      <c r="R651" s="4"/>
      <c r="S651" s="4"/>
      <c r="T651" s="4"/>
      <c r="U651" s="4"/>
      <c r="V651" s="4"/>
      <c r="X651" s="4"/>
      <c r="Y651" s="4"/>
      <c r="AA651" s="4"/>
      <c r="AB651" s="4"/>
      <c r="AC651" s="4"/>
      <c r="AD651" s="95"/>
    </row>
    <row r="652" spans="14:30">
      <c r="N652" s="7"/>
      <c r="P652" s="86"/>
      <c r="Q652" s="4"/>
      <c r="R652" s="4"/>
      <c r="S652" s="4"/>
      <c r="T652" s="4"/>
      <c r="U652" s="4"/>
      <c r="V652" s="4"/>
      <c r="X652" s="4"/>
      <c r="Y652" s="4"/>
      <c r="AA652" s="4"/>
      <c r="AB652" s="4"/>
      <c r="AC652" s="4"/>
      <c r="AD652" s="95"/>
    </row>
    <row r="653" spans="14:30">
      <c r="N653" s="7"/>
      <c r="P653" s="86"/>
      <c r="Q653" s="4"/>
      <c r="R653" s="4"/>
      <c r="S653" s="4"/>
      <c r="T653" s="4"/>
      <c r="U653" s="4"/>
      <c r="V653" s="4"/>
      <c r="X653" s="4"/>
      <c r="Y653" s="4"/>
      <c r="AA653" s="4"/>
      <c r="AB653" s="4"/>
      <c r="AC653" s="4"/>
      <c r="AD653" s="95"/>
    </row>
    <row r="654" spans="14:30">
      <c r="N654" s="7"/>
      <c r="P654" s="86"/>
      <c r="Q654" s="4"/>
      <c r="R654" s="4"/>
      <c r="S654" s="4"/>
      <c r="T654" s="4"/>
      <c r="U654" s="4"/>
      <c r="V654" s="4"/>
      <c r="X654" s="4"/>
      <c r="Y654" s="4"/>
      <c r="AA654" s="4"/>
      <c r="AB654" s="4"/>
      <c r="AC654" s="4"/>
      <c r="AD654" s="95"/>
    </row>
    <row r="655" spans="14:30">
      <c r="N655" s="7"/>
      <c r="P655" s="86"/>
      <c r="Q655" s="4"/>
      <c r="R655" s="4"/>
      <c r="S655" s="4"/>
      <c r="T655" s="4"/>
      <c r="U655" s="4"/>
      <c r="V655" s="4"/>
      <c r="X655" s="4"/>
      <c r="Y655" s="4"/>
      <c r="AA655" s="4"/>
      <c r="AB655" s="4"/>
      <c r="AC655" s="4"/>
      <c r="AD655" s="95"/>
    </row>
    <row r="656" spans="14:30">
      <c r="N656" s="7"/>
      <c r="P656" s="86"/>
      <c r="Q656" s="4"/>
      <c r="R656" s="4"/>
      <c r="S656" s="4"/>
      <c r="T656" s="4"/>
      <c r="U656" s="4"/>
      <c r="V656" s="4"/>
      <c r="X656" s="4"/>
      <c r="Y656" s="4"/>
      <c r="AA656" s="4"/>
      <c r="AB656" s="4"/>
      <c r="AC656" s="4"/>
      <c r="AD656" s="95"/>
    </row>
    <row r="657" spans="14:30">
      <c r="N657" s="7"/>
      <c r="P657" s="86"/>
      <c r="Q657" s="4"/>
      <c r="R657" s="4"/>
      <c r="S657" s="4"/>
      <c r="T657" s="4"/>
      <c r="U657" s="4"/>
      <c r="V657" s="4"/>
      <c r="X657" s="4"/>
      <c r="Y657" s="4"/>
      <c r="AA657" s="4"/>
      <c r="AB657" s="4"/>
      <c r="AC657" s="4"/>
      <c r="AD657" s="95"/>
    </row>
    <row r="658" spans="14:30">
      <c r="N658" s="7"/>
      <c r="P658" s="86"/>
      <c r="Q658" s="4"/>
      <c r="R658" s="4"/>
      <c r="S658" s="4"/>
      <c r="T658" s="4"/>
      <c r="U658" s="4"/>
      <c r="V658" s="4"/>
      <c r="X658" s="4"/>
      <c r="Y658" s="4"/>
      <c r="AA658" s="4"/>
      <c r="AB658" s="4"/>
      <c r="AC658" s="4"/>
      <c r="AD658" s="95"/>
    </row>
    <row r="659" spans="14:30">
      <c r="N659" s="7"/>
      <c r="P659" s="86"/>
      <c r="Q659" s="4"/>
      <c r="R659" s="4"/>
      <c r="S659" s="4"/>
      <c r="T659" s="4"/>
      <c r="U659" s="4"/>
      <c r="V659" s="4"/>
      <c r="X659" s="4"/>
      <c r="Y659" s="4"/>
      <c r="AA659" s="4"/>
      <c r="AB659" s="4"/>
      <c r="AC659" s="4"/>
      <c r="AD659" s="95"/>
    </row>
    <row r="660" spans="14:30">
      <c r="N660" s="7"/>
      <c r="P660" s="86"/>
      <c r="Q660" s="4"/>
      <c r="R660" s="4"/>
      <c r="S660" s="4"/>
      <c r="T660" s="4"/>
      <c r="U660" s="4"/>
      <c r="V660" s="4"/>
      <c r="X660" s="4"/>
      <c r="Y660" s="4"/>
      <c r="AA660" s="4"/>
      <c r="AB660" s="4"/>
      <c r="AC660" s="4"/>
      <c r="AD660" s="95"/>
    </row>
    <row r="661" spans="14:30">
      <c r="N661" s="7"/>
      <c r="P661" s="86"/>
      <c r="Q661" s="4"/>
      <c r="R661" s="4"/>
      <c r="S661" s="4"/>
      <c r="T661" s="4"/>
      <c r="U661" s="4"/>
      <c r="V661" s="4"/>
      <c r="X661" s="4"/>
      <c r="Y661" s="4"/>
      <c r="AA661" s="4"/>
      <c r="AB661" s="4"/>
      <c r="AC661" s="4"/>
      <c r="AD661" s="95"/>
    </row>
    <row r="662" spans="14:30">
      <c r="N662" s="7"/>
      <c r="P662" s="86"/>
      <c r="Q662" s="4"/>
      <c r="R662" s="4"/>
      <c r="S662" s="4"/>
      <c r="T662" s="4"/>
      <c r="U662" s="4"/>
      <c r="V662" s="4"/>
      <c r="X662" s="4"/>
      <c r="Y662" s="4"/>
      <c r="AA662" s="4"/>
      <c r="AB662" s="4"/>
      <c r="AC662" s="4"/>
      <c r="AD662" s="95"/>
    </row>
    <row r="663" spans="14:30">
      <c r="N663" s="7"/>
      <c r="P663" s="86"/>
      <c r="Q663" s="4"/>
      <c r="R663" s="4"/>
      <c r="S663" s="4"/>
      <c r="T663" s="4"/>
      <c r="U663" s="4"/>
      <c r="V663" s="4"/>
      <c r="X663" s="4"/>
      <c r="Y663" s="4"/>
      <c r="AA663" s="4"/>
      <c r="AB663" s="4"/>
      <c r="AC663" s="4"/>
      <c r="AD663" s="95"/>
    </row>
    <row r="664" spans="14:30">
      <c r="N664" s="7"/>
      <c r="P664" s="86"/>
      <c r="Q664" s="4"/>
      <c r="R664" s="4"/>
      <c r="S664" s="4"/>
      <c r="T664" s="4"/>
      <c r="U664" s="4"/>
      <c r="V664" s="4"/>
      <c r="X664" s="4"/>
      <c r="Y664" s="4"/>
      <c r="AA664" s="4"/>
      <c r="AB664" s="4"/>
      <c r="AC664" s="4"/>
      <c r="AD664" s="95"/>
    </row>
    <row r="665" spans="14:30">
      <c r="N665" s="7"/>
      <c r="P665" s="86"/>
      <c r="Q665" s="4"/>
      <c r="R665" s="4"/>
      <c r="S665" s="4"/>
      <c r="T665" s="4"/>
      <c r="U665" s="4"/>
      <c r="V665" s="4"/>
      <c r="X665" s="4"/>
      <c r="Y665" s="4"/>
      <c r="AA665" s="4"/>
      <c r="AB665" s="4"/>
      <c r="AC665" s="4"/>
      <c r="AD665" s="95"/>
    </row>
    <row r="666" spans="14:30">
      <c r="N666" s="7"/>
      <c r="P666" s="86"/>
      <c r="Q666" s="4"/>
      <c r="R666" s="4"/>
      <c r="S666" s="4"/>
      <c r="T666" s="4"/>
      <c r="U666" s="4"/>
      <c r="V666" s="4"/>
      <c r="X666" s="4"/>
      <c r="Y666" s="4"/>
      <c r="AA666" s="4"/>
      <c r="AB666" s="4"/>
      <c r="AC666" s="4"/>
      <c r="AD666" s="95"/>
    </row>
    <row r="667" spans="14:30">
      <c r="N667" s="7"/>
      <c r="P667" s="86"/>
      <c r="Q667" s="4"/>
      <c r="R667" s="4"/>
      <c r="S667" s="4"/>
      <c r="T667" s="4"/>
      <c r="U667" s="4"/>
      <c r="V667" s="4"/>
      <c r="X667" s="4"/>
      <c r="Y667" s="4"/>
      <c r="AA667" s="4"/>
      <c r="AB667" s="4"/>
      <c r="AC667" s="4"/>
      <c r="AD667" s="95"/>
    </row>
    <row r="668" spans="14:30">
      <c r="N668" s="7"/>
      <c r="P668" s="86"/>
      <c r="Q668" s="4"/>
      <c r="R668" s="4"/>
      <c r="S668" s="4"/>
      <c r="T668" s="4"/>
      <c r="U668" s="4"/>
      <c r="V668" s="4"/>
      <c r="X668" s="4"/>
      <c r="Y668" s="4"/>
      <c r="AA668" s="4"/>
      <c r="AB668" s="4"/>
      <c r="AC668" s="4"/>
      <c r="AD668" s="95"/>
    </row>
    <row r="669" spans="14:30">
      <c r="N669" s="7"/>
      <c r="P669" s="86"/>
      <c r="Q669" s="4"/>
      <c r="R669" s="4"/>
      <c r="S669" s="4"/>
      <c r="T669" s="4"/>
      <c r="U669" s="4"/>
      <c r="V669" s="4"/>
      <c r="X669" s="4"/>
      <c r="Y669" s="4"/>
      <c r="AA669" s="4"/>
      <c r="AB669" s="4"/>
      <c r="AC669" s="4"/>
      <c r="AD669" s="95"/>
    </row>
    <row r="670" spans="14:30">
      <c r="N670" s="7"/>
      <c r="P670" s="86"/>
      <c r="Q670" s="4"/>
      <c r="R670" s="4"/>
      <c r="S670" s="4"/>
      <c r="T670" s="4"/>
      <c r="U670" s="4"/>
      <c r="V670" s="4"/>
      <c r="X670" s="4"/>
      <c r="Y670" s="4"/>
      <c r="AA670" s="4"/>
      <c r="AB670" s="4"/>
      <c r="AC670" s="4"/>
      <c r="AD670" s="95"/>
    </row>
    <row r="671" spans="14:30">
      <c r="N671" s="7"/>
      <c r="P671" s="86"/>
      <c r="Q671" s="4"/>
      <c r="R671" s="4"/>
      <c r="S671" s="4"/>
      <c r="T671" s="4"/>
      <c r="U671" s="4"/>
      <c r="V671" s="4"/>
      <c r="X671" s="4"/>
      <c r="Y671" s="4"/>
      <c r="AA671" s="4"/>
      <c r="AB671" s="4"/>
      <c r="AC671" s="4"/>
      <c r="AD671" s="95"/>
    </row>
    <row r="672" spans="14:30">
      <c r="N672" s="7"/>
      <c r="P672" s="86"/>
      <c r="Q672" s="4"/>
      <c r="R672" s="4"/>
      <c r="S672" s="4"/>
      <c r="T672" s="4"/>
      <c r="U672" s="4"/>
      <c r="V672" s="4"/>
      <c r="X672" s="4"/>
      <c r="Y672" s="4"/>
      <c r="AA672" s="4"/>
      <c r="AB672" s="4"/>
      <c r="AC672" s="4"/>
      <c r="AD672" s="95"/>
    </row>
    <row r="673" spans="14:30">
      <c r="N673" s="7"/>
      <c r="P673" s="86"/>
      <c r="Q673" s="4"/>
      <c r="R673" s="4"/>
      <c r="S673" s="4"/>
      <c r="T673" s="4"/>
      <c r="U673" s="4"/>
      <c r="V673" s="4"/>
      <c r="X673" s="4"/>
      <c r="Y673" s="4"/>
      <c r="AA673" s="4"/>
      <c r="AB673" s="4"/>
      <c r="AC673" s="4"/>
      <c r="AD673" s="95"/>
    </row>
    <row r="674" spans="14:30">
      <c r="N674" s="7"/>
      <c r="P674" s="86"/>
      <c r="Q674" s="4"/>
      <c r="R674" s="4"/>
      <c r="S674" s="4"/>
      <c r="T674" s="4"/>
      <c r="U674" s="4"/>
      <c r="V674" s="4"/>
      <c r="X674" s="4"/>
      <c r="Y674" s="4"/>
      <c r="AA674" s="4"/>
      <c r="AB674" s="4"/>
      <c r="AC674" s="4"/>
      <c r="AD674" s="95"/>
    </row>
    <row r="675" spans="14:30">
      <c r="N675" s="7"/>
      <c r="P675" s="86"/>
      <c r="Q675" s="4"/>
      <c r="R675" s="4"/>
      <c r="S675" s="4"/>
      <c r="T675" s="4"/>
      <c r="U675" s="4"/>
      <c r="V675" s="4"/>
      <c r="X675" s="4"/>
      <c r="Y675" s="4"/>
      <c r="AA675" s="4"/>
      <c r="AB675" s="4"/>
      <c r="AC675" s="4"/>
      <c r="AD675" s="95"/>
    </row>
    <row r="676" spans="14:30">
      <c r="N676" s="7"/>
      <c r="P676" s="86"/>
      <c r="Q676" s="4"/>
      <c r="R676" s="4"/>
      <c r="S676" s="4"/>
      <c r="T676" s="4"/>
      <c r="U676" s="4"/>
      <c r="V676" s="4"/>
      <c r="X676" s="4"/>
      <c r="Y676" s="4"/>
      <c r="AA676" s="4"/>
      <c r="AB676" s="4"/>
      <c r="AC676" s="4"/>
      <c r="AD676" s="95"/>
    </row>
    <row r="677" spans="14:30">
      <c r="N677" s="7"/>
      <c r="P677" s="86"/>
      <c r="Q677" s="4"/>
      <c r="R677" s="4"/>
      <c r="S677" s="4"/>
      <c r="T677" s="4"/>
      <c r="U677" s="4"/>
      <c r="V677" s="4"/>
      <c r="X677" s="4"/>
      <c r="Y677" s="4"/>
      <c r="AA677" s="4"/>
      <c r="AB677" s="4"/>
      <c r="AC677" s="4"/>
      <c r="AD677" s="95"/>
    </row>
    <row r="678" spans="14:30">
      <c r="N678" s="7"/>
      <c r="P678" s="86"/>
      <c r="Q678" s="4"/>
      <c r="R678" s="4"/>
      <c r="S678" s="4"/>
      <c r="T678" s="4"/>
      <c r="U678" s="4"/>
      <c r="V678" s="4"/>
      <c r="X678" s="4"/>
      <c r="Y678" s="4"/>
      <c r="AA678" s="4"/>
      <c r="AB678" s="4"/>
      <c r="AC678" s="4"/>
      <c r="AD678" s="95"/>
    </row>
    <row r="679" spans="14:30">
      <c r="N679" s="7"/>
      <c r="P679" s="86"/>
      <c r="Q679" s="4"/>
      <c r="R679" s="4"/>
      <c r="S679" s="4"/>
      <c r="T679" s="4"/>
      <c r="U679" s="4"/>
      <c r="V679" s="4"/>
      <c r="X679" s="4"/>
      <c r="Y679" s="4"/>
      <c r="AA679" s="4"/>
      <c r="AB679" s="4"/>
      <c r="AC679" s="4"/>
      <c r="AD679" s="95"/>
    </row>
    <row r="680" spans="14:30">
      <c r="N680" s="7"/>
      <c r="P680" s="86"/>
      <c r="Q680" s="4"/>
      <c r="R680" s="4"/>
      <c r="S680" s="4"/>
      <c r="T680" s="4"/>
      <c r="U680" s="4"/>
      <c r="V680" s="4"/>
      <c r="X680" s="4"/>
      <c r="Y680" s="4"/>
      <c r="AA680" s="4"/>
      <c r="AB680" s="4"/>
      <c r="AC680" s="4"/>
      <c r="AD680" s="95"/>
    </row>
    <row r="681" spans="14:30">
      <c r="N681" s="7"/>
      <c r="P681" s="86"/>
      <c r="Q681" s="4"/>
      <c r="R681" s="4"/>
      <c r="S681" s="4"/>
      <c r="T681" s="4"/>
      <c r="U681" s="4"/>
      <c r="V681" s="4"/>
      <c r="X681" s="4"/>
      <c r="Y681" s="4"/>
      <c r="AA681" s="4"/>
      <c r="AB681" s="4"/>
      <c r="AC681" s="4"/>
      <c r="AD681" s="95"/>
    </row>
    <row r="682" spans="14:30">
      <c r="N682" s="7"/>
      <c r="P682" s="86"/>
      <c r="Q682" s="4"/>
      <c r="R682" s="4"/>
      <c r="S682" s="4"/>
      <c r="T682" s="4"/>
      <c r="U682" s="4"/>
      <c r="V682" s="4"/>
      <c r="X682" s="4"/>
      <c r="Y682" s="4"/>
      <c r="AA682" s="4"/>
      <c r="AB682" s="4"/>
      <c r="AC682" s="4"/>
      <c r="AD682" s="95"/>
    </row>
    <row r="683" spans="14:30">
      <c r="N683" s="7"/>
      <c r="P683" s="86"/>
      <c r="Q683" s="4"/>
      <c r="R683" s="4"/>
      <c r="S683" s="4"/>
      <c r="T683" s="4"/>
      <c r="U683" s="4"/>
      <c r="V683" s="4"/>
      <c r="X683" s="4"/>
      <c r="Y683" s="4"/>
      <c r="AA683" s="4"/>
      <c r="AB683" s="4"/>
      <c r="AC683" s="4"/>
      <c r="AD683" s="95"/>
    </row>
    <row r="684" spans="14:30">
      <c r="N684" s="7"/>
      <c r="P684" s="86"/>
      <c r="Q684" s="4"/>
      <c r="R684" s="4"/>
      <c r="S684" s="4"/>
      <c r="T684" s="4"/>
      <c r="U684" s="4"/>
      <c r="V684" s="4"/>
      <c r="X684" s="4"/>
      <c r="Y684" s="4"/>
      <c r="AA684" s="4"/>
      <c r="AB684" s="4"/>
      <c r="AC684" s="4"/>
      <c r="AD684" s="95"/>
    </row>
    <row r="685" spans="14:30">
      <c r="N685" s="7"/>
      <c r="P685" s="86"/>
      <c r="Q685" s="4"/>
      <c r="R685" s="4"/>
      <c r="S685" s="4"/>
      <c r="T685" s="4"/>
      <c r="U685" s="4"/>
      <c r="V685" s="4"/>
      <c r="X685" s="4"/>
      <c r="Y685" s="4"/>
      <c r="AA685" s="4"/>
      <c r="AB685" s="4"/>
      <c r="AC685" s="4"/>
      <c r="AD685" s="95"/>
    </row>
    <row r="686" spans="14:30">
      <c r="N686" s="7"/>
      <c r="P686" s="86"/>
      <c r="Q686" s="4"/>
      <c r="R686" s="4"/>
      <c r="S686" s="4"/>
      <c r="T686" s="4"/>
      <c r="U686" s="4"/>
      <c r="V686" s="4"/>
      <c r="X686" s="4"/>
      <c r="Y686" s="4"/>
      <c r="AA686" s="4"/>
      <c r="AB686" s="4"/>
      <c r="AC686" s="4"/>
      <c r="AD686" s="95"/>
    </row>
    <row r="687" spans="14:30">
      <c r="N687" s="7"/>
      <c r="P687" s="86"/>
      <c r="Q687" s="4"/>
      <c r="R687" s="4"/>
      <c r="S687" s="4"/>
      <c r="T687" s="4"/>
      <c r="U687" s="4"/>
      <c r="V687" s="4"/>
      <c r="X687" s="4"/>
      <c r="Y687" s="4"/>
      <c r="AA687" s="4"/>
      <c r="AB687" s="4"/>
      <c r="AC687" s="4"/>
      <c r="AD687" s="95"/>
    </row>
    <row r="688" spans="14:30">
      <c r="N688" s="7"/>
      <c r="P688" s="86"/>
      <c r="Q688" s="4"/>
      <c r="R688" s="4"/>
      <c r="S688" s="4"/>
      <c r="T688" s="4"/>
      <c r="U688" s="4"/>
      <c r="V688" s="4"/>
      <c r="X688" s="4"/>
      <c r="Y688" s="4"/>
      <c r="AA688" s="4"/>
      <c r="AB688" s="4"/>
      <c r="AC688" s="4"/>
      <c r="AD688" s="95"/>
    </row>
    <row r="689" spans="14:30">
      <c r="N689" s="7"/>
      <c r="P689" s="86"/>
      <c r="Q689" s="4"/>
      <c r="R689" s="4"/>
      <c r="S689" s="4"/>
      <c r="T689" s="4"/>
      <c r="U689" s="4"/>
      <c r="V689" s="4"/>
      <c r="X689" s="4"/>
      <c r="Y689" s="4"/>
      <c r="AA689" s="4"/>
      <c r="AB689" s="4"/>
      <c r="AC689" s="4"/>
      <c r="AD689" s="95"/>
    </row>
    <row r="690" spans="14:30">
      <c r="N690" s="7"/>
      <c r="P690" s="86"/>
      <c r="Q690" s="4"/>
      <c r="R690" s="4"/>
      <c r="S690" s="4"/>
      <c r="T690" s="4"/>
      <c r="U690" s="4"/>
      <c r="V690" s="4"/>
      <c r="X690" s="4"/>
      <c r="Y690" s="4"/>
      <c r="AA690" s="4"/>
      <c r="AB690" s="4"/>
      <c r="AC690" s="4"/>
      <c r="AD690" s="95"/>
    </row>
    <row r="691" spans="14:30">
      <c r="N691" s="7"/>
      <c r="P691" s="86"/>
      <c r="Q691" s="4"/>
      <c r="R691" s="4"/>
      <c r="S691" s="4"/>
      <c r="T691" s="4"/>
      <c r="U691" s="4"/>
      <c r="V691" s="4"/>
      <c r="X691" s="4"/>
      <c r="Y691" s="4"/>
      <c r="AA691" s="4"/>
      <c r="AB691" s="4"/>
      <c r="AC691" s="4"/>
      <c r="AD691" s="95"/>
    </row>
    <row r="692" spans="14:30">
      <c r="N692" s="7"/>
      <c r="P692" s="86"/>
      <c r="Q692" s="4"/>
      <c r="R692" s="4"/>
      <c r="S692" s="4"/>
      <c r="T692" s="4"/>
      <c r="U692" s="4"/>
      <c r="V692" s="4"/>
      <c r="X692" s="4"/>
      <c r="Y692" s="4"/>
      <c r="AA692" s="4"/>
      <c r="AB692" s="4"/>
      <c r="AC692" s="4"/>
      <c r="AD692" s="95"/>
    </row>
    <row r="693" spans="14:30">
      <c r="N693" s="7"/>
      <c r="P693" s="86"/>
      <c r="Q693" s="4"/>
      <c r="R693" s="4"/>
      <c r="S693" s="4"/>
      <c r="T693" s="4"/>
      <c r="U693" s="4"/>
      <c r="V693" s="4"/>
      <c r="X693" s="4"/>
      <c r="Y693" s="4"/>
      <c r="AA693" s="4"/>
      <c r="AB693" s="4"/>
      <c r="AC693" s="4"/>
      <c r="AD693" s="95"/>
    </row>
    <row r="694" spans="14:30">
      <c r="N694" s="7"/>
      <c r="P694" s="86"/>
      <c r="Q694" s="4"/>
      <c r="R694" s="4"/>
      <c r="S694" s="4"/>
      <c r="T694" s="4"/>
      <c r="U694" s="4"/>
      <c r="V694" s="4"/>
      <c r="X694" s="4"/>
      <c r="Y694" s="4"/>
      <c r="AA694" s="4"/>
      <c r="AB694" s="4"/>
      <c r="AC694" s="4"/>
      <c r="AD694" s="95"/>
    </row>
    <row r="695" spans="14:30">
      <c r="N695" s="7"/>
      <c r="P695" s="86"/>
      <c r="Q695" s="4"/>
      <c r="R695" s="4"/>
      <c r="S695" s="4"/>
      <c r="T695" s="4"/>
      <c r="U695" s="4"/>
      <c r="V695" s="4"/>
      <c r="X695" s="4"/>
      <c r="Y695" s="4"/>
      <c r="AA695" s="4"/>
      <c r="AB695" s="4"/>
      <c r="AC695" s="4"/>
      <c r="AD695" s="95"/>
    </row>
    <row r="696" spans="14:30">
      <c r="N696" s="7"/>
      <c r="P696" s="86"/>
      <c r="Q696" s="4"/>
      <c r="R696" s="4"/>
      <c r="S696" s="4"/>
      <c r="T696" s="4"/>
      <c r="U696" s="4"/>
      <c r="V696" s="4"/>
      <c r="X696" s="4"/>
      <c r="Y696" s="4"/>
      <c r="AA696" s="4"/>
      <c r="AB696" s="4"/>
      <c r="AC696" s="4"/>
      <c r="AD696" s="95"/>
    </row>
    <row r="697" spans="14:30">
      <c r="N697" s="7"/>
      <c r="P697" s="86"/>
      <c r="Q697" s="4"/>
      <c r="R697" s="4"/>
      <c r="S697" s="4"/>
      <c r="T697" s="4"/>
      <c r="U697" s="4"/>
      <c r="V697" s="4"/>
      <c r="X697" s="4"/>
      <c r="Y697" s="4"/>
      <c r="AA697" s="4"/>
      <c r="AB697" s="4"/>
      <c r="AC697" s="4"/>
      <c r="AD697" s="95"/>
    </row>
    <row r="698" spans="14:30">
      <c r="N698" s="7"/>
      <c r="P698" s="86"/>
      <c r="Q698" s="4"/>
      <c r="R698" s="4"/>
      <c r="S698" s="4"/>
      <c r="T698" s="4"/>
      <c r="U698" s="4"/>
      <c r="V698" s="4"/>
      <c r="X698" s="4"/>
      <c r="Y698" s="4"/>
      <c r="AA698" s="4"/>
      <c r="AB698" s="4"/>
      <c r="AC698" s="4"/>
      <c r="AD698" s="95"/>
    </row>
    <row r="699" spans="14:30">
      <c r="N699" s="7"/>
      <c r="P699" s="86"/>
      <c r="Q699" s="4"/>
      <c r="R699" s="4"/>
      <c r="S699" s="4"/>
      <c r="T699" s="4"/>
      <c r="U699" s="4"/>
      <c r="V699" s="4"/>
      <c r="X699" s="4"/>
      <c r="Y699" s="4"/>
      <c r="AA699" s="4"/>
      <c r="AB699" s="4"/>
      <c r="AC699" s="4"/>
      <c r="AD699" s="95"/>
    </row>
    <row r="700" spans="14:30">
      <c r="N700" s="7"/>
      <c r="P700" s="86"/>
      <c r="Q700" s="4"/>
      <c r="R700" s="4"/>
      <c r="S700" s="4"/>
      <c r="T700" s="4"/>
      <c r="U700" s="4"/>
      <c r="V700" s="4"/>
      <c r="X700" s="4"/>
      <c r="Y700" s="4"/>
      <c r="AA700" s="4"/>
      <c r="AB700" s="4"/>
      <c r="AC700" s="4"/>
      <c r="AD700" s="95"/>
    </row>
    <row r="701" spans="14:30">
      <c r="N701" s="7"/>
      <c r="P701" s="86"/>
      <c r="Q701" s="4"/>
      <c r="R701" s="4"/>
      <c r="S701" s="4"/>
      <c r="T701" s="4"/>
      <c r="U701" s="4"/>
      <c r="V701" s="4"/>
      <c r="X701" s="4"/>
      <c r="Y701" s="4"/>
      <c r="AA701" s="4"/>
      <c r="AB701" s="4"/>
      <c r="AC701" s="4"/>
      <c r="AD701" s="95"/>
    </row>
    <row r="702" spans="14:30">
      <c r="N702" s="7"/>
      <c r="P702" s="86"/>
      <c r="Q702" s="4"/>
      <c r="R702" s="4"/>
      <c r="S702" s="4"/>
      <c r="T702" s="4"/>
      <c r="U702" s="4"/>
      <c r="V702" s="4"/>
      <c r="X702" s="4"/>
      <c r="Y702" s="4"/>
      <c r="AA702" s="4"/>
      <c r="AB702" s="4"/>
      <c r="AC702" s="4"/>
      <c r="AD702" s="95"/>
    </row>
    <row r="703" spans="14:30">
      <c r="N703" s="7"/>
      <c r="P703" s="86"/>
      <c r="Q703" s="4"/>
      <c r="R703" s="4"/>
      <c r="S703" s="4"/>
      <c r="T703" s="4"/>
      <c r="U703" s="4"/>
      <c r="V703" s="4"/>
      <c r="X703" s="4"/>
      <c r="Y703" s="4"/>
      <c r="AA703" s="4"/>
      <c r="AB703" s="4"/>
      <c r="AC703" s="4"/>
      <c r="AD703" s="95"/>
    </row>
    <row r="704" spans="14:30">
      <c r="N704" s="7"/>
      <c r="P704" s="86"/>
      <c r="Q704" s="4"/>
      <c r="R704" s="4"/>
      <c r="S704" s="4"/>
      <c r="T704" s="4"/>
      <c r="U704" s="4"/>
      <c r="V704" s="4"/>
      <c r="X704" s="4"/>
      <c r="Y704" s="4"/>
      <c r="AA704" s="4"/>
      <c r="AB704" s="4"/>
      <c r="AC704" s="4"/>
      <c r="AD704" s="95"/>
    </row>
    <row r="705" spans="14:30">
      <c r="N705" s="7"/>
      <c r="P705" s="86"/>
      <c r="Q705" s="4"/>
      <c r="R705" s="4"/>
      <c r="S705" s="4"/>
      <c r="T705" s="4"/>
      <c r="U705" s="4"/>
      <c r="V705" s="4"/>
      <c r="X705" s="4"/>
      <c r="Y705" s="4"/>
      <c r="AA705" s="4"/>
      <c r="AB705" s="4"/>
      <c r="AC705" s="4"/>
      <c r="AD705" s="95"/>
    </row>
    <row r="706" spans="14:30">
      <c r="N706" s="7"/>
      <c r="P706" s="86"/>
      <c r="Q706" s="4"/>
      <c r="R706" s="4"/>
      <c r="S706" s="4"/>
      <c r="T706" s="4"/>
      <c r="U706" s="4"/>
      <c r="V706" s="4"/>
      <c r="X706" s="4"/>
      <c r="Y706" s="4"/>
      <c r="AA706" s="4"/>
      <c r="AB706" s="4"/>
      <c r="AC706" s="4"/>
      <c r="AD706" s="95"/>
    </row>
    <row r="707" spans="14:30">
      <c r="N707" s="7"/>
      <c r="P707" s="86"/>
      <c r="Q707" s="4"/>
      <c r="R707" s="4"/>
      <c r="S707" s="4"/>
      <c r="T707" s="4"/>
      <c r="U707" s="4"/>
      <c r="V707" s="4"/>
      <c r="X707" s="4"/>
      <c r="Y707" s="4"/>
      <c r="AA707" s="4"/>
      <c r="AB707" s="4"/>
      <c r="AC707" s="4"/>
      <c r="AD707" s="95"/>
    </row>
    <row r="708" spans="14:30">
      <c r="N708" s="7"/>
      <c r="P708" s="86"/>
      <c r="Q708" s="4"/>
      <c r="R708" s="4"/>
      <c r="S708" s="4"/>
      <c r="T708" s="4"/>
      <c r="U708" s="4"/>
      <c r="V708" s="4"/>
      <c r="X708" s="4"/>
      <c r="Y708" s="4"/>
      <c r="AA708" s="4"/>
      <c r="AB708" s="4"/>
      <c r="AC708" s="4"/>
      <c r="AD708" s="95"/>
    </row>
  </sheetData>
  <mergeCells count="46">
    <mergeCell ref="A1:M1"/>
    <mergeCell ref="N1:X1"/>
    <mergeCell ref="AF2:AR2"/>
    <mergeCell ref="P4:AE4"/>
    <mergeCell ref="AS4:BE4"/>
    <mergeCell ref="BF4:BH4"/>
    <mergeCell ref="BI4:BK4"/>
    <mergeCell ref="BL4:BM4"/>
    <mergeCell ref="Q5:S5"/>
    <mergeCell ref="T5:V5"/>
    <mergeCell ref="W5:Y5"/>
    <mergeCell ref="Z5:AB5"/>
    <mergeCell ref="AC5:AE5"/>
    <mergeCell ref="AG5:AI5"/>
    <mergeCell ref="AJ5:AL5"/>
    <mergeCell ref="AM5:AO5"/>
    <mergeCell ref="AP5:AR5"/>
    <mergeCell ref="AT5:AV5"/>
    <mergeCell ref="AW5:AY5"/>
    <mergeCell ref="AZ5:BB5"/>
    <mergeCell ref="BC5:BE5"/>
    <mergeCell ref="BF5:BH5"/>
    <mergeCell ref="BI5:BK5"/>
    <mergeCell ref="BL5:BM5"/>
    <mergeCell ref="E6:K6"/>
    <mergeCell ref="P16:AE16"/>
    <mergeCell ref="AF16:AR16"/>
    <mergeCell ref="AS16:BE16"/>
    <mergeCell ref="BF16:BH16"/>
    <mergeCell ref="BI16:BK16"/>
    <mergeCell ref="BL16:BM16"/>
    <mergeCell ref="Q17:S17"/>
    <mergeCell ref="T17:V17"/>
    <mergeCell ref="W17:Y17"/>
    <mergeCell ref="Z17:AB17"/>
    <mergeCell ref="AC17:AE17"/>
    <mergeCell ref="AG17:AI17"/>
    <mergeCell ref="AJ17:AL17"/>
    <mergeCell ref="AM17:AO17"/>
    <mergeCell ref="AP17:AR17"/>
    <mergeCell ref="AT17:AV17"/>
    <mergeCell ref="AW17:AY17"/>
    <mergeCell ref="AZ17:BB17"/>
    <mergeCell ref="BC17:BE17"/>
    <mergeCell ref="BF17:BH17"/>
    <mergeCell ref="BI17:BK17"/>
  </mergeCells>
  <pageMargins left="0.7" right="0.7" top="0.75" bottom="0.75" header="0.3" footer="0.3"/>
  <pageSetup paperSize="1" orientation="portrait"/>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I53"/>
  <sheetViews>
    <sheetView zoomScale="85" zoomScaleNormal="85" topLeftCell="A13" workbookViewId="0">
      <selection activeCell="G41" sqref="G41"/>
    </sheetView>
  </sheetViews>
  <sheetFormatPr defaultColWidth="9" defaultRowHeight="15"/>
  <cols>
    <col min="1" max="1" width="26.8571428571429" customWidth="1"/>
    <col min="2" max="2" width="25.5714285714286" customWidth="1"/>
    <col min="3" max="3" width="10.1428571428571" customWidth="1"/>
  </cols>
  <sheetData>
    <row r="1" ht="27.75" spans="1:9">
      <c r="A1" s="1" t="s">
        <v>513</v>
      </c>
      <c r="B1" s="1"/>
      <c r="C1" s="1"/>
      <c r="D1" s="1"/>
      <c r="E1" s="1"/>
      <c r="F1" s="1"/>
      <c r="G1" s="1"/>
      <c r="H1" s="1"/>
      <c r="I1" s="1"/>
    </row>
    <row r="2" spans="1:9">
      <c r="A2" s="2"/>
      <c r="B2" s="2" t="s">
        <v>91</v>
      </c>
      <c r="C2" s="3"/>
      <c r="D2" s="4"/>
      <c r="E2" s="2"/>
      <c r="F2" s="2"/>
      <c r="G2" s="2"/>
      <c r="H2" s="2"/>
      <c r="I2" s="2"/>
    </row>
    <row r="3" spans="1:9">
      <c r="A3" s="2"/>
      <c r="B3" s="2" t="s">
        <v>92</v>
      </c>
      <c r="C3" s="5"/>
      <c r="D3" s="4"/>
      <c r="E3" s="2"/>
      <c r="F3" s="2"/>
      <c r="G3" s="2"/>
      <c r="H3" s="2"/>
      <c r="I3" s="2"/>
    </row>
    <row r="4" spans="1:9">
      <c r="A4" s="2"/>
      <c r="B4" s="2" t="s">
        <v>96</v>
      </c>
      <c r="C4" s="6"/>
      <c r="D4" s="4"/>
      <c r="E4" s="2"/>
      <c r="F4" s="2"/>
      <c r="G4" s="2"/>
      <c r="H4" s="2"/>
      <c r="I4" s="2"/>
    </row>
    <row r="5" spans="1:9">
      <c r="A5" s="7" t="s">
        <v>97</v>
      </c>
      <c r="B5" s="7" t="s">
        <v>98</v>
      </c>
      <c r="C5" s="7" t="s">
        <v>99</v>
      </c>
      <c r="D5" s="4"/>
      <c r="E5" s="8" t="s">
        <v>100</v>
      </c>
      <c r="F5" s="8"/>
      <c r="G5" s="8"/>
      <c r="H5" s="8"/>
      <c r="I5" s="7"/>
    </row>
    <row r="6" customFormat="1" spans="1:9">
      <c r="A6" s="7"/>
      <c r="B6" s="7"/>
      <c r="C6" s="7"/>
      <c r="D6" s="9" t="s">
        <v>514</v>
      </c>
      <c r="E6" s="8"/>
      <c r="F6" s="8"/>
      <c r="G6" s="8"/>
      <c r="H6" s="8"/>
      <c r="I6" s="7"/>
    </row>
    <row r="7" customFormat="1" spans="1:9">
      <c r="A7" s="7" t="s">
        <v>515</v>
      </c>
      <c r="B7" s="7"/>
      <c r="C7" s="7"/>
      <c r="D7" s="4"/>
      <c r="E7" s="8"/>
      <c r="F7" s="8"/>
      <c r="G7" s="8"/>
      <c r="H7" s="8"/>
      <c r="I7" s="7"/>
    </row>
    <row r="8" customFormat="1" spans="1:9">
      <c r="A8" s="7"/>
      <c r="B8" s="7"/>
      <c r="C8" s="7"/>
      <c r="D8" s="4"/>
      <c r="E8" s="8"/>
      <c r="F8" s="8"/>
      <c r="G8" s="8"/>
      <c r="H8" s="8"/>
      <c r="I8" s="7"/>
    </row>
    <row r="9" spans="1:9">
      <c r="A9" t="s">
        <v>516</v>
      </c>
      <c r="B9" s="10">
        <v>0.91</v>
      </c>
      <c r="D9" t="s">
        <v>517</v>
      </c>
    </row>
    <row r="10" customFormat="1" spans="1:9">
      <c r="A10" t="s">
        <v>518</v>
      </c>
      <c r="B10" s="11">
        <f>(1-B9)/(2.2*10^6)</f>
        <v>4.09090909090909e-8</v>
      </c>
      <c r="C10" t="s">
        <v>173</v>
      </c>
      <c r="D10" t="s">
        <v>519</v>
      </c>
    </row>
    <row r="11" spans="1:9">
      <c r="A11" t="s">
        <v>520</v>
      </c>
      <c r="B11" s="10">
        <v>0.95</v>
      </c>
      <c r="D11" t="s">
        <v>517</v>
      </c>
    </row>
    <row r="12" customFormat="1" spans="1:9">
      <c r="A12" t="s">
        <v>521</v>
      </c>
      <c r="B12" s="11">
        <f>(1-B11)/(2.2*10^6)</f>
        <v>2.27272727272727e-8</v>
      </c>
      <c r="C12" t="s">
        <v>173</v>
      </c>
      <c r="D12" t="s">
        <v>522</v>
      </c>
    </row>
    <row r="13" spans="1:9">
      <c r="A13" t="s">
        <v>523</v>
      </c>
      <c r="B13" s="10">
        <v>0.98</v>
      </c>
      <c r="D13" t="s">
        <v>517</v>
      </c>
    </row>
    <row r="14" spans="1:9">
      <c r="A14" t="s">
        <v>524</v>
      </c>
      <c r="B14" s="11">
        <f>(1-B13)/(2.2*10^6)</f>
        <v>9.0909090909091e-9</v>
      </c>
      <c r="C14" t="s">
        <v>173</v>
      </c>
      <c r="D14" t="s">
        <v>525</v>
      </c>
    </row>
    <row r="16" spans="1:9">
      <c r="A16" t="s">
        <v>526</v>
      </c>
      <c r="B16" s="10">
        <v>0.97</v>
      </c>
      <c r="D16" t="s">
        <v>527</v>
      </c>
    </row>
    <row r="17" spans="1:6">
      <c r="A17" t="s">
        <v>528</v>
      </c>
      <c r="B17" s="10">
        <v>0.98</v>
      </c>
      <c r="D17" t="s">
        <v>529</v>
      </c>
    </row>
    <row r="18" spans="1:6">
      <c r="A18" t="s">
        <v>530</v>
      </c>
      <c r="B18" s="10">
        <v>0.99</v>
      </c>
      <c r="D18" t="s">
        <v>531</v>
      </c>
    </row>
    <row r="19" spans="1:6">
      <c r="B19">
        <f>IF(((1-D_limit_min)/Constants!B12)&lt;Fsw,2,1)</f>
        <v>1</v>
      </c>
      <c r="D19" t="s">
        <v>532</v>
      </c>
    </row>
    <row r="20" spans="1:6">
      <c r="A20" t="s">
        <v>533</v>
      </c>
      <c r="B20" s="12">
        <f>CHOOSE(B19,D_limit_min,(1-Constants!B10*Fsw))</f>
        <v>0.97</v>
      </c>
      <c r="D20" t="s">
        <v>534</v>
      </c>
    </row>
    <row r="22" spans="1:6">
      <c r="A22" t="s">
        <v>535</v>
      </c>
      <c r="B22" s="10">
        <f>325*10^-9</f>
        <v>3.25e-7</v>
      </c>
      <c r="C22" t="s">
        <v>173</v>
      </c>
      <c r="D22" t="s">
        <v>536</v>
      </c>
    </row>
    <row r="23" customFormat="1" spans="1:6">
      <c r="B23" s="13"/>
    </row>
    <row r="24" ht="15.75" spans="1:6">
      <c r="A24" s="14" t="s">
        <v>537</v>
      </c>
      <c r="E24" t="s">
        <v>538</v>
      </c>
      <c r="F24" s="15">
        <f>'Design Converter'!H12*1000</f>
        <v>700000</v>
      </c>
    </row>
    <row r="25" spans="1:6">
      <c r="A25" t="s">
        <v>484</v>
      </c>
      <c r="B25" s="10">
        <f>0.00005-(0.00000000001*F24)</f>
        <v>4.3e-5</v>
      </c>
      <c r="C25" t="s">
        <v>12</v>
      </c>
      <c r="D25" t="s">
        <v>539</v>
      </c>
    </row>
    <row r="26" spans="1:6">
      <c r="A26" t="s">
        <v>482</v>
      </c>
      <c r="B26" s="10">
        <v>2000</v>
      </c>
      <c r="C26" s="16" t="s">
        <v>35</v>
      </c>
      <c r="D26" t="s">
        <v>540</v>
      </c>
    </row>
    <row r="27" spans="1:6">
      <c r="A27" t="s">
        <v>541</v>
      </c>
      <c r="B27" s="10">
        <f>0.156</f>
        <v>0.156</v>
      </c>
      <c r="C27" s="16" t="s">
        <v>7</v>
      </c>
      <c r="D27" t="s">
        <v>542</v>
      </c>
    </row>
    <row r="28" spans="1:6">
      <c r="A28" t="s">
        <v>543</v>
      </c>
      <c r="B28" s="10">
        <v>2000</v>
      </c>
      <c r="C28" s="16" t="s">
        <v>35</v>
      </c>
    </row>
    <row r="29" spans="1:6">
      <c r="A29" t="s">
        <v>486</v>
      </c>
      <c r="B29" s="10">
        <f>0.9</f>
        <v>0.9</v>
      </c>
      <c r="C29" t="s">
        <v>244</v>
      </c>
      <c r="D29" t="s">
        <v>544</v>
      </c>
    </row>
    <row r="30" spans="1:6">
      <c r="A30" t="s">
        <v>545</v>
      </c>
      <c r="B30" s="10">
        <v>1</v>
      </c>
      <c r="C30" t="s">
        <v>244</v>
      </c>
      <c r="D30" t="s">
        <v>546</v>
      </c>
    </row>
    <row r="32" customFormat="1" spans="1:6">
      <c r="A32" s="17" t="s">
        <v>438</v>
      </c>
    </row>
    <row r="33" customFormat="1" spans="1:7">
      <c r="A33" t="s">
        <v>547</v>
      </c>
      <c r="B33" s="10">
        <v>1.26</v>
      </c>
      <c r="C33" t="s">
        <v>7</v>
      </c>
      <c r="D33" t="s">
        <v>548</v>
      </c>
    </row>
    <row r="34" spans="1:7">
      <c r="A34" t="s">
        <v>549</v>
      </c>
      <c r="B34" s="10">
        <f>(800*10^-6)/1</f>
        <v>0.0008</v>
      </c>
      <c r="C34" t="s">
        <v>550</v>
      </c>
      <c r="D34" t="s">
        <v>551</v>
      </c>
    </row>
    <row r="36" spans="1:7">
      <c r="A36" s="17" t="s">
        <v>552</v>
      </c>
    </row>
    <row r="37" spans="1:7">
      <c r="A37" t="s">
        <v>553</v>
      </c>
      <c r="B37" s="10">
        <v>4</v>
      </c>
      <c r="C37" t="s">
        <v>283</v>
      </c>
    </row>
    <row r="39" spans="1:7">
      <c r="A39" s="17" t="s">
        <v>554</v>
      </c>
    </row>
    <row r="40" spans="1:7">
      <c r="A40" t="s">
        <v>555</v>
      </c>
      <c r="B40" s="10">
        <v>3.02</v>
      </c>
      <c r="C40" t="s">
        <v>7</v>
      </c>
      <c r="D40" t="s">
        <v>556</v>
      </c>
    </row>
    <row r="41" spans="1:7">
      <c r="A41" t="s">
        <v>557</v>
      </c>
      <c r="B41" s="10">
        <v>2.85</v>
      </c>
      <c r="C41" t="s">
        <v>7</v>
      </c>
      <c r="D41" t="s">
        <v>556</v>
      </c>
    </row>
    <row r="42" spans="1:7">
      <c r="A42" t="s">
        <v>558</v>
      </c>
      <c r="B42" s="10">
        <v>0.17</v>
      </c>
      <c r="C42" t="s">
        <v>7</v>
      </c>
      <c r="D42" t="s">
        <v>556</v>
      </c>
    </row>
    <row r="44" spans="1:7">
      <c r="A44" s="17" t="s">
        <v>559</v>
      </c>
    </row>
    <row r="45" spans="1:7">
      <c r="A45" t="s">
        <v>560</v>
      </c>
      <c r="B45" s="10">
        <v>7.2</v>
      </c>
      <c r="C45" t="s">
        <v>7</v>
      </c>
      <c r="D45" t="s">
        <v>561</v>
      </c>
    </row>
    <row r="47" spans="1:7">
      <c r="A47" s="17" t="s">
        <v>562</v>
      </c>
    </row>
    <row r="48" spans="1:7">
      <c r="A48" t="s">
        <v>563</v>
      </c>
      <c r="B48" s="10">
        <f>3.3*(10^-3)</f>
        <v>0.0033</v>
      </c>
      <c r="C48" t="s">
        <v>12</v>
      </c>
      <c r="D48" t="s">
        <v>564</v>
      </c>
      <c r="G48" t="s">
        <v>565</v>
      </c>
    </row>
    <row r="50" spans="1:4">
      <c r="A50" t="s">
        <v>566</v>
      </c>
    </row>
    <row r="51" spans="1:4">
      <c r="A51" t="s">
        <v>567</v>
      </c>
      <c r="B51" s="10">
        <v>2.97</v>
      </c>
      <c r="C51" t="s">
        <v>7</v>
      </c>
      <c r="D51" t="s">
        <v>568</v>
      </c>
    </row>
    <row r="52" spans="1:4">
      <c r="A52" t="s">
        <v>569</v>
      </c>
      <c r="B52" s="10">
        <v>40</v>
      </c>
      <c r="C52" t="s">
        <v>7</v>
      </c>
      <c r="D52" t="s">
        <v>570</v>
      </c>
    </row>
    <row r="53" spans="1:4">
      <c r="A53" t="s">
        <v>571</v>
      </c>
      <c r="B53" s="10">
        <v>40</v>
      </c>
      <c r="C53" t="s">
        <v>7</v>
      </c>
      <c r="D53" t="s">
        <v>572</v>
      </c>
    </row>
  </sheetData>
  <mergeCells count="2">
    <mergeCell ref="A1:I1"/>
    <mergeCell ref="E5:H5"/>
  </mergeCell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2:B3"/>
  <sheetViews>
    <sheetView zoomScale="70" zoomScaleNormal="70" topLeftCell="B1" workbookViewId="0">
      <selection activeCell="E3" sqref="E3"/>
    </sheetView>
  </sheetViews>
  <sheetFormatPr defaultColWidth="9" defaultRowHeight="15" outlineLevelRow="2" outlineLevelCol="1"/>
  <cols>
    <col min="3" max="3" width="144.857142857143" customWidth="1"/>
  </cols>
  <sheetData>
    <row r="2" spans="2:2">
      <c r="B2" t="str">
        <f>"Eff_vs_IOUT"</f>
        <v>Eff_vs_IOUT</v>
      </c>
    </row>
    <row r="3" ht="379.7" customHeight="1"/>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2"/>
  <sheetViews>
    <sheetView workbookViewId="0">
      <selection activeCell="C2" sqref="C2"/>
    </sheetView>
  </sheetViews>
  <sheetFormatPr defaultColWidth="9" defaultRowHeight="15" outlineLevelRow="1"/>
  <cols>
    <col min="2" max="2" width="71.2857142857143" customWidth="1"/>
  </cols>
  <sheetData>
    <row r="2" ht="294.6" customHeight="1"/>
  </sheetData>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2:D5"/>
  <sheetViews>
    <sheetView workbookViewId="0">
      <selection activeCell="B3" sqref="B3"/>
    </sheetView>
  </sheetViews>
  <sheetFormatPr defaultColWidth="9" defaultRowHeight="15" outlineLevelRow="4" outlineLevelCol="3"/>
  <sheetData>
    <row r="2" spans="1:4">
      <c r="A2" t="s">
        <v>573</v>
      </c>
    </row>
    <row r="3" spans="1:4">
      <c r="B3">
        <f>VIN_min</f>
        <v>3</v>
      </c>
    </row>
    <row r="4" spans="1:4">
      <c r="B4">
        <f>VIN_nom</f>
        <v>3.7</v>
      </c>
      <c r="D4">
        <v>2.5</v>
      </c>
    </row>
    <row r="5" spans="1:4">
      <c r="B5">
        <f>VIN_max</f>
        <v>12.6</v>
      </c>
    </row>
  </sheetData>
  <dataValidations count="3">
    <dataValidation type="list" allowBlank="1" showInputMessage="1" showErrorMessage="1" sqref="D4">
      <formula1>$B$3:$B$5</formula1>
    </dataValidation>
    <dataValidation type="decimal" operator="between" allowBlank="1" showInputMessage="1" showErrorMessage="1" sqref="F4">
      <formula1>B3</formula1>
      <formula2>B5</formula2>
    </dataValidation>
    <dataValidation type="list" showInputMessage="1" showErrorMessage="1" sqref="I15" showDropDown="1">
      <formula1>$B$3:$B$5</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10" master="" otherUserPermission="visible"/>
  <rangeList sheetStid="2" master="" otherUserPermission="visible"/>
  <rangeList sheetStid="4" master="" otherUserPermission="visible"/>
  <rangeList sheetStid="5" master="" otherUserPermission="visible"/>
  <rangeList sheetStid="3" master="" otherUserPermission="visible"/>
  <rangeList sheetStid="6" master="" otherUserPermission="visible"/>
  <rangeList sheetStid="7" master="" otherUserPermission="visible"/>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Texas Instruments Incorporated</Company>
  <Application>Microsoft Excel</Application>
  <HeadingPairs>
    <vt:vector size="2" baseType="variant">
      <vt:variant>
        <vt:lpstr>工作表</vt:lpstr>
      </vt:variant>
      <vt:variant>
        <vt:i4>9</vt:i4>
      </vt:variant>
    </vt:vector>
  </HeadingPairs>
  <TitlesOfParts>
    <vt:vector size="9" baseType="lpstr">
      <vt:lpstr>Design Converter</vt:lpstr>
      <vt:lpstr>Licenses</vt:lpstr>
      <vt:lpstr>Variable_Management</vt:lpstr>
      <vt:lpstr>Eff_vs_IOUT</vt:lpstr>
      <vt:lpstr>Loop_Modeling</vt:lpstr>
      <vt:lpstr>Constants</vt:lpstr>
      <vt:lpstr>Plot_Management_Eff</vt:lpstr>
      <vt:lpstr>Plot_Management_Sch</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BMC-BCS</dc:creator>
  <cp:lastModifiedBy>User</cp:lastModifiedBy>
  <dcterms:created xsi:type="dcterms:W3CDTF">2018-06-26T09:13:00Z</dcterms:created>
  <cp:lastPrinted>2018-08-09T07:13:00Z</cp:lastPrinted>
  <dcterms:modified xsi:type="dcterms:W3CDTF">2026-10-01T22:09:49Z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FA8F5C428ACF4829BF6D84869630F810_13</vt:lpwstr>
  </property>
  <property fmtid="{D5CDD505-2E9C-101B-9397-08002B2CF9AE}" pid="3" name="KSOProductBuildVer">
    <vt:lpwstr>1045-12.1.0.28485</vt:lpwstr>
  </property>
  <property fmtid="{D5CDD505-2E9C-101B-9397-08002B2CF9AE}" pid="4" name="CalculationRule">
    <vt:i4>0</vt:i4>
  </property>
</Properties>
</file>